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Stavební rozpočet" sheetId="1" r:id="rId1"/>
    <sheet name="Krycí list rozpočtu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<sst xmlns="http://schemas.openxmlformats.org/spreadsheetml/2006/main" count="747" uniqueCount="292">
  <si>
    <t>899731114R00</t>
  </si>
  <si>
    <t>Doba výstavby:</t>
  </si>
  <si>
    <t>Hloubené vykopávky</t>
  </si>
  <si>
    <t>Projektant</t>
  </si>
  <si>
    <t>Základ 15%</t>
  </si>
  <si>
    <t>42200750</t>
  </si>
  <si>
    <t>SO 01b - PŘÍPOJKY</t>
  </si>
  <si>
    <t>91</t>
  </si>
  <si>
    <t>87</t>
  </si>
  <si>
    <t>Základ 21%</t>
  </si>
  <si>
    <t>20</t>
  </si>
  <si>
    <t>Dodávka</t>
  </si>
  <si>
    <t>NUS celkem z obj.</t>
  </si>
  <si>
    <t>286134601</t>
  </si>
  <si>
    <t>Příplatek za ztížení vykopávky v blízkosti vedení</t>
  </si>
  <si>
    <t>87_</t>
  </si>
  <si>
    <t>Název stavby:</t>
  </si>
  <si>
    <t>Ostatní materiál</t>
  </si>
  <si>
    <t>29</t>
  </si>
  <si>
    <t>Potrubí z trub plastických, skleněných a čedičových</t>
  </si>
  <si>
    <t>Č</t>
  </si>
  <si>
    <t>89_</t>
  </si>
  <si>
    <t>Poznámka:</t>
  </si>
  <si>
    <t>Lokalita:</t>
  </si>
  <si>
    <t>16</t>
  </si>
  <si>
    <t>PSV</t>
  </si>
  <si>
    <t>24</t>
  </si>
  <si>
    <t>Bez pevné podl.</t>
  </si>
  <si>
    <t>Uložení sypaniny na skládku</t>
  </si>
  <si>
    <t>Trubka vodovodní PE 100 RC, SDR 11  32x3,0 mm</t>
  </si>
  <si>
    <t>Celkem</t>
  </si>
  <si>
    <t>Zařízení staveniště</t>
  </si>
  <si>
    <t>565131111R00</t>
  </si>
  <si>
    <t>11_</t>
  </si>
  <si>
    <t>979087212R00</t>
  </si>
  <si>
    <t>1_</t>
  </si>
  <si>
    <t>4</t>
  </si>
  <si>
    <t>Základní rozpočtové náklady</t>
  </si>
  <si>
    <t>Louňovice pod Blaníkem</t>
  </si>
  <si>
    <t>26</t>
  </si>
  <si>
    <t>Příplatek za lepivost - hloubení rýh 200cm v hor.3</t>
  </si>
  <si>
    <t>Konstrukce ze zemin</t>
  </si>
  <si>
    <t>Celkem bez DPH</t>
  </si>
  <si>
    <t>Vedlejší a ostatní rozpočtové náklady</t>
  </si>
  <si>
    <t>Trubka vodovodní PE 100 RC SDR 11  63x5,8 mm</t>
  </si>
  <si>
    <t>Podklad z obal kamen. ACP 16+, š. do 3 m, tl. 5 cm</t>
  </si>
  <si>
    <t>6</t>
  </si>
  <si>
    <t>Rozpočtové náklady v Kč</t>
  </si>
  <si>
    <t>Podklad z kam.drceného 32-63 s výplň.kamen. 15 cm</t>
  </si>
  <si>
    <t>564752111R00</t>
  </si>
  <si>
    <t>B</t>
  </si>
  <si>
    <t>Náklady na umístění stavby (NUS)</t>
  </si>
  <si>
    <t>42</t>
  </si>
  <si>
    <t>Montáž navrtávacích pasů DN 80</t>
  </si>
  <si>
    <t>Montáž</t>
  </si>
  <si>
    <t>Zařízení staveniště (2%)</t>
  </si>
  <si>
    <t>Datum, razítko a podpis</t>
  </si>
  <si>
    <t>ZRN celkem</t>
  </si>
  <si>
    <t>Odstranění podkladu nad 50 m2,kam.drcené tl.35 cm</t>
  </si>
  <si>
    <t>17_</t>
  </si>
  <si>
    <t>979990103R00</t>
  </si>
  <si>
    <t>Z99999_</t>
  </si>
  <si>
    <t>33</t>
  </si>
  <si>
    <t>DPH 15%</t>
  </si>
  <si>
    <t>Pažení a rozepření stěn rýh - příložné - hl.do 2 m</t>
  </si>
  <si>
    <t>Krycí list slepého rozpočtu</t>
  </si>
  <si>
    <t>871211121R00</t>
  </si>
  <si>
    <t>Montáž vodovodních šoupátek ve výkopu DN 50</t>
  </si>
  <si>
    <t>Základna</t>
  </si>
  <si>
    <t>25</t>
  </si>
  <si>
    <t>kus</t>
  </si>
  <si>
    <t>Odkopávky a prokopávky</t>
  </si>
  <si>
    <t>Dodávky</t>
  </si>
  <si>
    <t>877212121R00</t>
  </si>
  <si>
    <t>Poklop uliční šoupátkový  - voda</t>
  </si>
  <si>
    <t>Ostatní mat.</t>
  </si>
  <si>
    <t>Beton asfalt. ACL 16+ ložný, š. do 3 m, tl. 6 cm</t>
  </si>
  <si>
    <t>Přirážka za 1 spoj elektrotvarovky d 63 mm</t>
  </si>
  <si>
    <t>9507016VD</t>
  </si>
  <si>
    <t>HSV prac</t>
  </si>
  <si>
    <t>113107635R00</t>
  </si>
  <si>
    <t>13</t>
  </si>
  <si>
    <t>"M"</t>
  </si>
  <si>
    <t>VORN celkem z obj.</t>
  </si>
  <si>
    <t>H27_</t>
  </si>
  <si>
    <t>Elektrospojka d 32 mm PE 100</t>
  </si>
  <si>
    <t>Hloubení rýh š.do 200 cm hor.3 do 1000m3,STROJNĚ</t>
  </si>
  <si>
    <t>171201201R00</t>
  </si>
  <si>
    <t>Cena/MJ</t>
  </si>
  <si>
    <t>Konec výstavby:</t>
  </si>
  <si>
    <t>Kód</t>
  </si>
  <si>
    <t>S</t>
  </si>
  <si>
    <t>43</t>
  </si>
  <si>
    <t>891211111R00</t>
  </si>
  <si>
    <t>120001101R00</t>
  </si>
  <si>
    <t>MJ</t>
  </si>
  <si>
    <t>45</t>
  </si>
  <si>
    <t>40</t>
  </si>
  <si>
    <t>9_</t>
  </si>
  <si>
    <t>Celkem ORN</t>
  </si>
  <si>
    <t>Doplňující konstrukce a práce na pozemních komunikacích a zpevněných plochách</t>
  </si>
  <si>
    <t>Doplňkové náklady</t>
  </si>
  <si>
    <t>Šoupátko  DN 2" pro dom.příp. - voda</t>
  </si>
  <si>
    <t>PSV prac</t>
  </si>
  <si>
    <t>HSV</t>
  </si>
  <si>
    <t>Vedlejší rozpočtové náklady VRN</t>
  </si>
  <si>
    <t>Lože a obsyp potrubí z kameniva těženého 0 - 4 mm</t>
  </si>
  <si>
    <t>132301219R00</t>
  </si>
  <si>
    <t>9</t>
  </si>
  <si>
    <t>15</t>
  </si>
  <si>
    <t>ISWORK</t>
  </si>
  <si>
    <t>57_</t>
  </si>
  <si>
    <t>Celkem včetně DPH</t>
  </si>
  <si>
    <t>Celkem NUS</t>
  </si>
  <si>
    <t>Základ 0%</t>
  </si>
  <si>
    <t>S_</t>
  </si>
  <si>
    <t>Přesuny sutí</t>
  </si>
  <si>
    <t>Mont prac</t>
  </si>
  <si>
    <t>44</t>
  </si>
  <si>
    <t>42228258</t>
  </si>
  <si>
    <t>877162121R00</t>
  </si>
  <si>
    <t>23</t>
  </si>
  <si>
    <t>Vodorovná doprava suti a hmot po suchu do 6000 m</t>
  </si>
  <si>
    <t>28314140.A</t>
  </si>
  <si>
    <t>t</t>
  </si>
  <si>
    <t>577131111R00</t>
  </si>
  <si>
    <t>JKSO:</t>
  </si>
  <si>
    <t>45_</t>
  </si>
  <si>
    <t>Montáž trubek polyetylenových ve výkopu d 63 mm</t>
  </si>
  <si>
    <t>Odstranění asfaltové vrstvy pl.nad 50 m2, tl.10 cm</t>
  </si>
  <si>
    <t>12_</t>
  </si>
  <si>
    <t>Kryty pozemních komunikací, letišť a ploch z kameniva nebo živičné</t>
  </si>
  <si>
    <t>DN celkem</t>
  </si>
  <si>
    <t>Zásyp jam, rýh, šachet se zhutněním</t>
  </si>
  <si>
    <t>GROUPCODE</t>
  </si>
  <si>
    <t>42293115</t>
  </si>
  <si>
    <t>0</t>
  </si>
  <si>
    <t>Provozní vlivy</t>
  </si>
  <si>
    <t>5</t>
  </si>
  <si>
    <t>564851111R00</t>
  </si>
  <si>
    <t>162501102R00</t>
  </si>
  <si>
    <t>Vedení trubní dálková a přípojná</t>
  </si>
  <si>
    <t>Druh stavby:</t>
  </si>
  <si>
    <t>Přípravné a přidružené práce</t>
  </si>
  <si>
    <t>Ostatní konstrukce</t>
  </si>
  <si>
    <t>Elektrospojka d 63 mm  PE 100</t>
  </si>
  <si>
    <t>891269111R00</t>
  </si>
  <si>
    <t>Zpracováno dne:</t>
  </si>
  <si>
    <t>H27</t>
  </si>
  <si>
    <t>132401211R00</t>
  </si>
  <si>
    <t>132201212R00</t>
  </si>
  <si>
    <t>10</t>
  </si>
  <si>
    <t>Hloubení rýh šířky do 200 cm v hor.5, STROJNĚ</t>
  </si>
  <si>
    <t>36</t>
  </si>
  <si>
    <t>113108410R00</t>
  </si>
  <si>
    <t>14</t>
  </si>
  <si>
    <t>31</t>
  </si>
  <si>
    <t>Množství</t>
  </si>
  <si>
    <t>5_</t>
  </si>
  <si>
    <t>38</t>
  </si>
  <si>
    <t>VORN celkem</t>
  </si>
  <si>
    <t>Řezání stávajícího živičného krytu tl. 5 - 10 cm</t>
  </si>
  <si>
    <t>Typ skupiny</t>
  </si>
  <si>
    <t>REKONSTRUKCE HAVARIJNÍHO STAVU VODOVODU -  ul. Táborská - Louňovice</t>
  </si>
  <si>
    <t>Dočasné zajištění kabelů - do počtu 3 kabelů</t>
  </si>
  <si>
    <t>19</t>
  </si>
  <si>
    <t>C</t>
  </si>
  <si>
    <t>Náklady (Kč)</t>
  </si>
  <si>
    <t>39</t>
  </si>
  <si>
    <t>30</t>
  </si>
  <si>
    <t>IČO/DIČ:</t>
  </si>
  <si>
    <t>Ostatní</t>
  </si>
  <si>
    <t>Zpracoval:</t>
  </si>
  <si>
    <t>151101111R00</t>
  </si>
  <si>
    <t>Přesun hmot, trubní vedení plastová, otevř. výkop</t>
  </si>
  <si>
    <t>Zhotovitel</t>
  </si>
  <si>
    <t>2</t>
  </si>
  <si>
    <t>Projektant:</t>
  </si>
  <si>
    <t/>
  </si>
  <si>
    <t>Navrtávací pas 90/2"</t>
  </si>
  <si>
    <t>17</t>
  </si>
  <si>
    <t>ks</t>
  </si>
  <si>
    <t>15_</t>
  </si>
  <si>
    <t>21</t>
  </si>
  <si>
    <t>451572111R00</t>
  </si>
  <si>
    <t>Práce přesčas</t>
  </si>
  <si>
    <t>Montáž trubek polyetylenových ve výkopu d 32 mm</t>
  </si>
  <si>
    <t>Napojovací tvarovka ISO</t>
  </si>
  <si>
    <t>132201219R00</t>
  </si>
  <si>
    <t>119001421R00</t>
  </si>
  <si>
    <t>174101101R00</t>
  </si>
  <si>
    <t>Nakládání suti na dopravní prostředky - komunikace</t>
  </si>
  <si>
    <t>12</t>
  </si>
  <si>
    <t>Kulturní památka</t>
  </si>
  <si>
    <t>DPH 21%</t>
  </si>
  <si>
    <t>Fólie výstražná š. 330 x 1,2 mm modrá 3,3 m/kg</t>
  </si>
  <si>
    <t>919735112R00</t>
  </si>
  <si>
    <t>_</t>
  </si>
  <si>
    <t>kpl</t>
  </si>
  <si>
    <t>Přesuny</t>
  </si>
  <si>
    <t>MAT</t>
  </si>
  <si>
    <t>9507009VD</t>
  </si>
  <si>
    <t>8</t>
  </si>
  <si>
    <t>Celkem:</t>
  </si>
  <si>
    <t>Mimostav. doprava</t>
  </si>
  <si>
    <t>18</t>
  </si>
  <si>
    <t>DN celkem z obj.</t>
  </si>
  <si>
    <t>46</t>
  </si>
  <si>
    <t>119001411R00</t>
  </si>
  <si>
    <t>4_</t>
  </si>
  <si>
    <t>m</t>
  </si>
  <si>
    <t>Přemístění výkopku</t>
  </si>
  <si>
    <t>11</t>
  </si>
  <si>
    <t>Dočasné zajištění beton.a plast. potrubí do DN 200</t>
  </si>
  <si>
    <t>32</t>
  </si>
  <si>
    <t>Objednatel:</t>
  </si>
  <si>
    <t>8_</t>
  </si>
  <si>
    <t>PSV mat</t>
  </si>
  <si>
    <t>891249111R00</t>
  </si>
  <si>
    <t>3</t>
  </si>
  <si>
    <t>Roubení</t>
  </si>
  <si>
    <t>998276101R00</t>
  </si>
  <si>
    <t>999_</t>
  </si>
  <si>
    <t>Zhotovitel:</t>
  </si>
  <si>
    <t>%</t>
  </si>
  <si>
    <t>35</t>
  </si>
  <si>
    <t>Navrtávací pas 110/2"</t>
  </si>
  <si>
    <t>Začátek výstavby:</t>
  </si>
  <si>
    <t>A</t>
  </si>
  <si>
    <t>Mont mat</t>
  </si>
  <si>
    <t>132301212R00</t>
  </si>
  <si>
    <t>Podkladní a vedlejší konstrukce (inženýr. stavby kromě vozovek a železnič. svršku)</t>
  </si>
  <si>
    <t>13_</t>
  </si>
  <si>
    <t>286134604</t>
  </si>
  <si>
    <t>Slepý stavební rozpočet</t>
  </si>
  <si>
    <t>871161121R00</t>
  </si>
  <si>
    <t>Z_</t>
  </si>
  <si>
    <t xml:space="preserve"> </t>
  </si>
  <si>
    <t>16_</t>
  </si>
  <si>
    <t>28653148.A</t>
  </si>
  <si>
    <t>999</t>
  </si>
  <si>
    <t>kg</t>
  </si>
  <si>
    <t>Objednatel</t>
  </si>
  <si>
    <t>57</t>
  </si>
  <si>
    <t>(Kč)</t>
  </si>
  <si>
    <t>Podklad ze štěrkodrti po zhutnění tloušťky 15 cm</t>
  </si>
  <si>
    <t>22</t>
  </si>
  <si>
    <t>Územní vlivy</t>
  </si>
  <si>
    <t>m3</t>
  </si>
  <si>
    <t>Odstranění pažení stěn rýh - příložné - hl. do 2 m</t>
  </si>
  <si>
    <t>Poplatek za skládku</t>
  </si>
  <si>
    <t>999111VD</t>
  </si>
  <si>
    <t>Datum:</t>
  </si>
  <si>
    <t>91_</t>
  </si>
  <si>
    <t>27</t>
  </si>
  <si>
    <t>37</t>
  </si>
  <si>
    <t>m2</t>
  </si>
  <si>
    <t>41</t>
  </si>
  <si>
    <t>Přesun hmot a sutí</t>
  </si>
  <si>
    <t>NUS z rozpočtu</t>
  </si>
  <si>
    <t>Příplatek za lepivost - hloubení rýh 200cm v hor.4</t>
  </si>
  <si>
    <t>1</t>
  </si>
  <si>
    <t>28653092.A</t>
  </si>
  <si>
    <t>7</t>
  </si>
  <si>
    <t>Rozměry</t>
  </si>
  <si>
    <t>Montáž navrtávacích pasů DN 100</t>
  </si>
  <si>
    <t>Položek:</t>
  </si>
  <si>
    <t>NUS celkem</t>
  </si>
  <si>
    <t>WORK</t>
  </si>
  <si>
    <t>Vodorovné přemístění výkopku z hor.1-4 do 3000 m</t>
  </si>
  <si>
    <t>Ostatní rozpočtové náklady ORN</t>
  </si>
  <si>
    <t>Přirážka za 1 spoj elektrotvarovky d 32 mm</t>
  </si>
  <si>
    <t>HSV mat</t>
  </si>
  <si>
    <t>Kč</t>
  </si>
  <si>
    <t>Celkem VRN</t>
  </si>
  <si>
    <t>89</t>
  </si>
  <si>
    <t>Ostatní rozpočtové náklady (ORN)</t>
  </si>
  <si>
    <t>Celkem DN</t>
  </si>
  <si>
    <t>9651125VD</t>
  </si>
  <si>
    <t>Zkrácený popis</t>
  </si>
  <si>
    <t>28</t>
  </si>
  <si>
    <t>Hloubení rýh š.do 200 cm hor.4 do 1000 m3, STROJNĚ</t>
  </si>
  <si>
    <t>979082318R00</t>
  </si>
  <si>
    <t>CELK</t>
  </si>
  <si>
    <t>151101101R00</t>
  </si>
  <si>
    <t>Beton asfalt. ACO 11+ obrusný, š. do 3 m, tl. 4 cm</t>
  </si>
  <si>
    <t>Vodič signalizační CYY 6 mm2</t>
  </si>
  <si>
    <t>VATTAX</t>
  </si>
  <si>
    <t>34</t>
  </si>
  <si>
    <t>Doplňkové náklady DN</t>
  </si>
  <si>
    <t>577151123R00</t>
  </si>
  <si>
    <t>Souprava zemní pro d.p. -voda, L=1,5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</si>
</sst>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/>
      <top/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5" fillId="0" borderId="11" xfId="0" applyNumberFormat="1" applyFont="1" applyFill="1" applyBorder="1" applyAlignment="1" applyProtection="1">
      <alignment horizontal="right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4" fontId="48" fillId="33" borderId="17" xfId="0" applyNumberFormat="1" applyFont="1" applyFill="1" applyBorder="1" applyAlignment="1" applyProtection="1">
      <alignment horizontal="right" vertical="center"/>
      <protection/>
    </xf>
    <xf numFmtId="4" fontId="46" fillId="0" borderId="17" xfId="0" applyNumberFormat="1" applyFont="1" applyFill="1" applyBorder="1" applyAlignment="1" applyProtection="1">
      <alignment horizontal="right" vertical="center"/>
      <protection/>
    </xf>
    <xf numFmtId="4" fontId="48" fillId="33" borderId="12" xfId="0" applyNumberFormat="1" applyFont="1" applyFill="1" applyBorder="1" applyAlignment="1" applyProtection="1">
      <alignment horizontal="righ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9" fillId="33" borderId="22" xfId="0" applyNumberFormat="1" applyFont="1" applyFill="1" applyBorder="1" applyAlignment="1" applyProtection="1">
      <alignment horizontal="center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4" fontId="46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6" fillId="33" borderId="18" xfId="0" applyNumberFormat="1" applyFont="1" applyFill="1" applyBorder="1" applyAlignment="1" applyProtection="1">
      <alignment horizontal="lef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5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47" fillId="0" borderId="17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12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18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4" fontId="47" fillId="0" borderId="27" xfId="0" applyNumberFormat="1" applyFont="1" applyFill="1" applyBorder="1" applyAlignment="1" applyProtection="1">
      <alignment horizontal="right" vertical="center"/>
      <protection/>
    </xf>
    <xf numFmtId="4" fontId="47" fillId="0" borderId="17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28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2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0" fontId="48" fillId="33" borderId="39" xfId="0" applyNumberFormat="1" applyFont="1" applyFill="1" applyBorder="1" applyAlignment="1" applyProtection="1">
      <alignment horizontal="left" vertical="center"/>
      <protection/>
    </xf>
    <xf numFmtId="0" fontId="48" fillId="33" borderId="40" xfId="0" applyNumberFormat="1" applyFont="1" applyFill="1" applyBorder="1" applyAlignment="1" applyProtection="1">
      <alignment horizontal="left" vertical="center"/>
      <protection/>
    </xf>
    <xf numFmtId="0" fontId="48" fillId="33" borderId="14" xfId="0" applyNumberFormat="1" applyFont="1" applyFill="1" applyBorder="1" applyAlignment="1" applyProtection="1">
      <alignment horizontal="left" vertical="center"/>
      <protection/>
    </xf>
    <xf numFmtId="0" fontId="48" fillId="33" borderId="13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40" xfId="0" applyNumberFormat="1" applyFont="1" applyFill="1" applyBorder="1" applyAlignment="1" applyProtection="1">
      <alignment horizontal="left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1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4" fontId="48" fillId="0" borderId="42" xfId="0" applyNumberFormat="1" applyFont="1" applyFill="1" applyBorder="1" applyAlignment="1" applyProtection="1">
      <alignment horizontal="right" vertical="center"/>
      <protection/>
    </xf>
    <xf numFmtId="0" fontId="48" fillId="0" borderId="42" xfId="0" applyNumberFormat="1" applyFont="1" applyFill="1" applyBorder="1" applyAlignment="1" applyProtection="1">
      <alignment horizontal="right" vertical="center"/>
      <protection/>
    </xf>
    <xf numFmtId="0" fontId="48" fillId="0" borderId="11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5"/>
  <sheetViews>
    <sheetView tabSelected="1" showOutlineSymbols="0" zoomScalePageLayoutView="0" workbookViewId="0" topLeftCell="A1">
      <pane ySplit="11" topLeftCell="A12" activePane="bottomLeft" state="frozen"/>
      <selection pane="topLeft" activeCell="A75" sqref="A75:L75"/>
      <selection pane="bottomLeft" activeCell="M27" sqref="M26:M27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41.66015625" style="0" customWidth="1"/>
    <col min="5" max="5" width="5" style="0" customWidth="1"/>
    <col min="6" max="6" width="15" style="0" customWidth="1"/>
    <col min="7" max="7" width="14" style="0" customWidth="1"/>
    <col min="8" max="10" width="18.33203125" style="0" customWidth="1"/>
    <col min="11" max="23" width="14.16015625" style="0" customWidth="1"/>
    <col min="24" max="74" width="14.16015625" style="0" hidden="1" customWidth="1"/>
  </cols>
  <sheetData>
    <row r="1" spans="1:46" ht="54.75" customHeight="1">
      <c r="A1" s="73" t="s">
        <v>234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AR1" s="48">
        <f>SUM(AI1:AI2)</f>
        <v>0</v>
      </c>
      <c r="AS1" s="48">
        <f>SUM(AJ1:AJ2)</f>
        <v>0</v>
      </c>
      <c r="AT1" s="48">
        <f>SUM(AK1:AK2)</f>
        <v>0</v>
      </c>
    </row>
    <row r="2" spans="1:11" ht="15" customHeight="1">
      <c r="A2" s="74" t="s">
        <v>16</v>
      </c>
      <c r="B2" s="72"/>
      <c r="C2" s="70" t="s">
        <v>163</v>
      </c>
      <c r="D2" s="71"/>
      <c r="E2" s="71"/>
      <c r="F2" s="71"/>
      <c r="G2" s="72" t="s">
        <v>1</v>
      </c>
      <c r="H2" s="72"/>
      <c r="I2" s="72" t="s">
        <v>237</v>
      </c>
      <c r="J2" s="77" t="s">
        <v>215</v>
      </c>
      <c r="K2" s="65"/>
    </row>
    <row r="3" spans="1:11" ht="15" customHeight="1">
      <c r="A3" s="75"/>
      <c r="B3" s="54"/>
      <c r="C3" s="57"/>
      <c r="D3" s="57"/>
      <c r="E3" s="57"/>
      <c r="F3" s="57"/>
      <c r="G3" s="54"/>
      <c r="H3" s="54"/>
      <c r="I3" s="54"/>
      <c r="J3" s="54"/>
      <c r="K3" s="66"/>
    </row>
    <row r="4" spans="1:11" ht="15" customHeight="1">
      <c r="A4" s="76" t="s">
        <v>142</v>
      </c>
      <c r="B4" s="54"/>
      <c r="C4" s="53" t="s">
        <v>6</v>
      </c>
      <c r="D4" s="54"/>
      <c r="E4" s="54"/>
      <c r="F4" s="54"/>
      <c r="G4" s="54" t="s">
        <v>227</v>
      </c>
      <c r="H4" s="54"/>
      <c r="I4" s="54" t="s">
        <v>237</v>
      </c>
      <c r="J4" s="53" t="s">
        <v>177</v>
      </c>
      <c r="K4" s="66"/>
    </row>
    <row r="5" spans="1:11" ht="15" customHeight="1">
      <c r="A5" s="75"/>
      <c r="B5" s="54"/>
      <c r="C5" s="54"/>
      <c r="D5" s="54"/>
      <c r="E5" s="54"/>
      <c r="F5" s="54"/>
      <c r="G5" s="54"/>
      <c r="H5" s="54"/>
      <c r="I5" s="54"/>
      <c r="J5" s="54"/>
      <c r="K5" s="66"/>
    </row>
    <row r="6" spans="1:11" ht="15" customHeight="1">
      <c r="A6" s="76" t="s">
        <v>23</v>
      </c>
      <c r="B6" s="54"/>
      <c r="C6" s="53" t="s">
        <v>38</v>
      </c>
      <c r="D6" s="54"/>
      <c r="E6" s="54"/>
      <c r="F6" s="54"/>
      <c r="G6" s="54" t="s">
        <v>89</v>
      </c>
      <c r="H6" s="54"/>
      <c r="I6" s="54" t="s">
        <v>237</v>
      </c>
      <c r="J6" s="53" t="s">
        <v>223</v>
      </c>
      <c r="K6" s="66"/>
    </row>
    <row r="7" spans="1:11" ht="15" customHeight="1">
      <c r="A7" s="75"/>
      <c r="B7" s="54"/>
      <c r="C7" s="54"/>
      <c r="D7" s="54"/>
      <c r="E7" s="54"/>
      <c r="F7" s="54"/>
      <c r="G7" s="54"/>
      <c r="H7" s="54"/>
      <c r="I7" s="54"/>
      <c r="J7" s="54"/>
      <c r="K7" s="66"/>
    </row>
    <row r="8" spans="1:11" ht="15" customHeight="1">
      <c r="A8" s="76" t="s">
        <v>126</v>
      </c>
      <c r="B8" s="54"/>
      <c r="C8" s="53" t="s">
        <v>237</v>
      </c>
      <c r="D8" s="54"/>
      <c r="E8" s="54"/>
      <c r="F8" s="54"/>
      <c r="G8" s="54" t="s">
        <v>147</v>
      </c>
      <c r="H8" s="54"/>
      <c r="I8" s="54" t="s">
        <v>237</v>
      </c>
      <c r="J8" s="53" t="s">
        <v>172</v>
      </c>
      <c r="K8" s="66"/>
    </row>
    <row r="9" spans="1:11" ht="15" customHeight="1">
      <c r="A9" s="75"/>
      <c r="B9" s="54"/>
      <c r="C9" s="54"/>
      <c r="D9" s="54"/>
      <c r="E9" s="54"/>
      <c r="F9" s="54"/>
      <c r="G9" s="54"/>
      <c r="H9" s="54"/>
      <c r="I9" s="54"/>
      <c r="J9" s="54"/>
      <c r="K9" s="67"/>
    </row>
    <row r="10" spans="1:74" ht="15" customHeight="1">
      <c r="A10" s="30" t="s">
        <v>20</v>
      </c>
      <c r="B10" s="11" t="s">
        <v>90</v>
      </c>
      <c r="C10" s="68" t="s">
        <v>279</v>
      </c>
      <c r="D10" s="69"/>
      <c r="E10" s="11" t="s">
        <v>95</v>
      </c>
      <c r="F10" s="21" t="s">
        <v>157</v>
      </c>
      <c r="G10" s="20" t="s">
        <v>88</v>
      </c>
      <c r="H10" s="62" t="s">
        <v>167</v>
      </c>
      <c r="I10" s="63"/>
      <c r="J10" s="64"/>
      <c r="K10" s="10"/>
      <c r="BJ10" s="45" t="s">
        <v>110</v>
      </c>
      <c r="BK10" s="29" t="s">
        <v>134</v>
      </c>
      <c r="BV10" s="29" t="s">
        <v>287</v>
      </c>
    </row>
    <row r="11" spans="1:61" ht="15" customHeight="1">
      <c r="A11" s="25" t="s">
        <v>237</v>
      </c>
      <c r="B11" s="42" t="s">
        <v>237</v>
      </c>
      <c r="C11" s="60" t="s">
        <v>264</v>
      </c>
      <c r="D11" s="61"/>
      <c r="E11" s="42" t="s">
        <v>237</v>
      </c>
      <c r="F11" s="42" t="s">
        <v>237</v>
      </c>
      <c r="G11" s="31" t="s">
        <v>244</v>
      </c>
      <c r="H11" s="16" t="s">
        <v>11</v>
      </c>
      <c r="I11" s="36" t="s">
        <v>54</v>
      </c>
      <c r="J11" s="1" t="s">
        <v>30</v>
      </c>
      <c r="K11" s="10"/>
      <c r="Y11" s="45" t="s">
        <v>199</v>
      </c>
      <c r="Z11" s="45" t="s">
        <v>162</v>
      </c>
      <c r="AA11" s="45" t="s">
        <v>272</v>
      </c>
      <c r="AB11" s="45" t="s">
        <v>79</v>
      </c>
      <c r="AC11" s="45" t="s">
        <v>217</v>
      </c>
      <c r="AD11" s="45" t="s">
        <v>103</v>
      </c>
      <c r="AE11" s="45" t="s">
        <v>229</v>
      </c>
      <c r="AF11" s="45" t="s">
        <v>117</v>
      </c>
      <c r="AG11" s="45" t="s">
        <v>75</v>
      </c>
      <c r="BG11" s="45" t="s">
        <v>200</v>
      </c>
      <c r="BH11" s="45" t="s">
        <v>268</v>
      </c>
      <c r="BI11" s="45" t="s">
        <v>283</v>
      </c>
    </row>
    <row r="12" spans="1:46" ht="15" customHeight="1">
      <c r="A12" s="34" t="s">
        <v>178</v>
      </c>
      <c r="B12" s="47" t="s">
        <v>212</v>
      </c>
      <c r="C12" s="58" t="s">
        <v>143</v>
      </c>
      <c r="D12" s="59"/>
      <c r="E12" s="2" t="s">
        <v>237</v>
      </c>
      <c r="F12" s="2" t="s">
        <v>237</v>
      </c>
      <c r="G12" s="2" t="s">
        <v>237</v>
      </c>
      <c r="H12" s="19">
        <f>SUM(H13:H16)</f>
        <v>0</v>
      </c>
      <c r="I12" s="19">
        <f>SUM(I13:I16)</f>
        <v>0</v>
      </c>
      <c r="J12" s="19">
        <f>SUM(J13:J16)</f>
        <v>0</v>
      </c>
      <c r="K12" s="10"/>
      <c r="AH12" s="45" t="s">
        <v>178</v>
      </c>
      <c r="AR12" s="48">
        <f>SUM(AI13:AI16)</f>
        <v>0</v>
      </c>
      <c r="AS12" s="48">
        <f>SUM(AJ13:AJ16)</f>
        <v>0</v>
      </c>
      <c r="AT12" s="48">
        <f>SUM(AK13:AK16)</f>
        <v>0</v>
      </c>
    </row>
    <row r="13" spans="1:74" ht="27" customHeight="1">
      <c r="A13" s="15" t="s">
        <v>261</v>
      </c>
      <c r="B13" s="18" t="s">
        <v>80</v>
      </c>
      <c r="C13" s="53" t="s">
        <v>58</v>
      </c>
      <c r="D13" s="54"/>
      <c r="E13" s="18" t="s">
        <v>256</v>
      </c>
      <c r="F13" s="38">
        <v>55</v>
      </c>
      <c r="G13" s="38">
        <v>0</v>
      </c>
      <c r="H13" s="38">
        <f>F13*AN13</f>
        <v>0</v>
      </c>
      <c r="I13" s="38">
        <f>F13*AO13</f>
        <v>0</v>
      </c>
      <c r="J13" s="38">
        <f>F13*G13</f>
        <v>0</v>
      </c>
      <c r="K13" s="10"/>
      <c r="Y13" s="38">
        <f>IF(AP13="5",BI13,0)</f>
        <v>0</v>
      </c>
      <c r="AA13" s="38">
        <f>IF(AP13="1",BG13,0)</f>
        <v>0</v>
      </c>
      <c r="AB13" s="38">
        <f>IF(AP13="1",BH13,0)</f>
        <v>0</v>
      </c>
      <c r="AC13" s="38">
        <f>IF(AP13="7",BG13,0)</f>
        <v>0</v>
      </c>
      <c r="AD13" s="38">
        <f>IF(AP13="7",BH13,0)</f>
        <v>0</v>
      </c>
      <c r="AE13" s="38">
        <f>IF(AP13="2",BG13,0)</f>
        <v>0</v>
      </c>
      <c r="AF13" s="38">
        <f>IF(AP13="2",BH13,0)</f>
        <v>0</v>
      </c>
      <c r="AG13" s="38">
        <f>IF(AP13="0",BI13,0)</f>
        <v>0</v>
      </c>
      <c r="AH13" s="45" t="s">
        <v>178</v>
      </c>
      <c r="AI13" s="38">
        <f>IF(AM13=0,J13,0)</f>
        <v>0</v>
      </c>
      <c r="AJ13" s="38">
        <f>IF(AM13=15,J13,0)</f>
        <v>0</v>
      </c>
      <c r="AK13" s="38">
        <f>IF(AM13=21,J13,0)</f>
        <v>0</v>
      </c>
      <c r="AM13" s="38">
        <v>21</v>
      </c>
      <c r="AN13" s="38">
        <f>G13*0</f>
        <v>0</v>
      </c>
      <c r="AO13" s="38">
        <f>G13*(1-0)</f>
        <v>0</v>
      </c>
      <c r="AP13" s="12" t="s">
        <v>261</v>
      </c>
      <c r="AU13" s="38">
        <f>AV13+AW13</f>
        <v>0</v>
      </c>
      <c r="AV13" s="38">
        <f>F13*AN13</f>
        <v>0</v>
      </c>
      <c r="AW13" s="38">
        <f>F13*AO13</f>
        <v>0</v>
      </c>
      <c r="AX13" s="12" t="s">
        <v>33</v>
      </c>
      <c r="AY13" s="12" t="s">
        <v>35</v>
      </c>
      <c r="AZ13" s="45" t="s">
        <v>197</v>
      </c>
      <c r="BB13" s="38">
        <f>AV13+AW13</f>
        <v>0</v>
      </c>
      <c r="BC13" s="38">
        <f>G13/(100-BD13)*100</f>
        <v>0</v>
      </c>
      <c r="BD13" s="38">
        <v>0</v>
      </c>
      <c r="BE13" s="38">
        <f>13</f>
        <v>13</v>
      </c>
      <c r="BG13" s="38">
        <f>F13*AN13</f>
        <v>0</v>
      </c>
      <c r="BH13" s="38">
        <f>F13*AO13</f>
        <v>0</v>
      </c>
      <c r="BI13" s="38">
        <f>F13*G13</f>
        <v>0</v>
      </c>
      <c r="BJ13" s="38"/>
      <c r="BK13" s="38">
        <v>11</v>
      </c>
      <c r="BV13" s="38">
        <v>21</v>
      </c>
    </row>
    <row r="14" spans="1:74" ht="27" customHeight="1">
      <c r="A14" s="15" t="s">
        <v>176</v>
      </c>
      <c r="B14" s="18" t="s">
        <v>154</v>
      </c>
      <c r="C14" s="53" t="s">
        <v>129</v>
      </c>
      <c r="D14" s="54"/>
      <c r="E14" s="18" t="s">
        <v>256</v>
      </c>
      <c r="F14" s="38">
        <v>85</v>
      </c>
      <c r="G14" s="38">
        <v>0</v>
      </c>
      <c r="H14" s="38">
        <f>F14*AN14</f>
        <v>0</v>
      </c>
      <c r="I14" s="38">
        <f>F14*AO14</f>
        <v>0</v>
      </c>
      <c r="J14" s="38">
        <f>F14*G14</f>
        <v>0</v>
      </c>
      <c r="K14" s="10"/>
      <c r="Y14" s="38">
        <f>IF(AP14="5",BI14,0)</f>
        <v>0</v>
      </c>
      <c r="AA14" s="38">
        <f>IF(AP14="1",BG14,0)</f>
        <v>0</v>
      </c>
      <c r="AB14" s="38">
        <f>IF(AP14="1",BH14,0)</f>
        <v>0</v>
      </c>
      <c r="AC14" s="38">
        <f>IF(AP14="7",BG14,0)</f>
        <v>0</v>
      </c>
      <c r="AD14" s="38">
        <f>IF(AP14="7",BH14,0)</f>
        <v>0</v>
      </c>
      <c r="AE14" s="38">
        <f>IF(AP14="2",BG14,0)</f>
        <v>0</v>
      </c>
      <c r="AF14" s="38">
        <f>IF(AP14="2",BH14,0)</f>
        <v>0</v>
      </c>
      <c r="AG14" s="38">
        <f>IF(AP14="0",BI14,0)</f>
        <v>0</v>
      </c>
      <c r="AH14" s="45" t="s">
        <v>178</v>
      </c>
      <c r="AI14" s="38">
        <f>IF(AM14=0,J14,0)</f>
        <v>0</v>
      </c>
      <c r="AJ14" s="38">
        <f>IF(AM14=15,J14,0)</f>
        <v>0</v>
      </c>
      <c r="AK14" s="38">
        <f>IF(AM14=21,J14,0)</f>
        <v>0</v>
      </c>
      <c r="AM14" s="38">
        <v>21</v>
      </c>
      <c r="AN14" s="38">
        <f>G14*0</f>
        <v>0</v>
      </c>
      <c r="AO14" s="38">
        <f>G14*(1-0)</f>
        <v>0</v>
      </c>
      <c r="AP14" s="12" t="s">
        <v>261</v>
      </c>
      <c r="AU14" s="38">
        <f>AV14+AW14</f>
        <v>0</v>
      </c>
      <c r="AV14" s="38">
        <f>F14*AN14</f>
        <v>0</v>
      </c>
      <c r="AW14" s="38">
        <f>F14*AO14</f>
        <v>0</v>
      </c>
      <c r="AX14" s="12" t="s">
        <v>33</v>
      </c>
      <c r="AY14" s="12" t="s">
        <v>35</v>
      </c>
      <c r="AZ14" s="45" t="s">
        <v>197</v>
      </c>
      <c r="BB14" s="38">
        <f>AV14+AW14</f>
        <v>0</v>
      </c>
      <c r="BC14" s="38">
        <f>G14/(100-BD14)*100</f>
        <v>0</v>
      </c>
      <c r="BD14" s="38">
        <v>0</v>
      </c>
      <c r="BE14" s="38">
        <f>14</f>
        <v>14</v>
      </c>
      <c r="BG14" s="38">
        <f>F14*AN14</f>
        <v>0</v>
      </c>
      <c r="BH14" s="38">
        <f>F14*AO14</f>
        <v>0</v>
      </c>
      <c r="BI14" s="38">
        <f>F14*G14</f>
        <v>0</v>
      </c>
      <c r="BJ14" s="38"/>
      <c r="BK14" s="38">
        <v>11</v>
      </c>
      <c r="BV14" s="38">
        <v>21</v>
      </c>
    </row>
    <row r="15" spans="1:74" ht="27" customHeight="1">
      <c r="A15" s="15" t="s">
        <v>219</v>
      </c>
      <c r="B15" s="18" t="s">
        <v>208</v>
      </c>
      <c r="C15" s="53" t="s">
        <v>213</v>
      </c>
      <c r="D15" s="54"/>
      <c r="E15" s="18" t="s">
        <v>210</v>
      </c>
      <c r="F15" s="38">
        <v>6</v>
      </c>
      <c r="G15" s="38">
        <v>0</v>
      </c>
      <c r="H15" s="38">
        <f>F15*AN15</f>
        <v>0</v>
      </c>
      <c r="I15" s="38">
        <f>F15*AO15</f>
        <v>0</v>
      </c>
      <c r="J15" s="38">
        <f>F15*G15</f>
        <v>0</v>
      </c>
      <c r="K15" s="10"/>
      <c r="Y15" s="38">
        <f>IF(AP15="5",BI15,0)</f>
        <v>0</v>
      </c>
      <c r="AA15" s="38">
        <f>IF(AP15="1",BG15,0)</f>
        <v>0</v>
      </c>
      <c r="AB15" s="38">
        <f>IF(AP15="1",BH15,0)</f>
        <v>0</v>
      </c>
      <c r="AC15" s="38">
        <f>IF(AP15="7",BG15,0)</f>
        <v>0</v>
      </c>
      <c r="AD15" s="38">
        <f>IF(AP15="7",BH15,0)</f>
        <v>0</v>
      </c>
      <c r="AE15" s="38">
        <f>IF(AP15="2",BG15,0)</f>
        <v>0</v>
      </c>
      <c r="AF15" s="38">
        <f>IF(AP15="2",BH15,0)</f>
        <v>0</v>
      </c>
      <c r="AG15" s="38">
        <f>IF(AP15="0",BI15,0)</f>
        <v>0</v>
      </c>
      <c r="AH15" s="45" t="s">
        <v>178</v>
      </c>
      <c r="AI15" s="38">
        <f>IF(AM15=0,J15,0)</f>
        <v>0</v>
      </c>
      <c r="AJ15" s="38">
        <f>IF(AM15=15,J15,0)</f>
        <v>0</v>
      </c>
      <c r="AK15" s="38">
        <f>IF(AM15=21,J15,0)</f>
        <v>0</v>
      </c>
      <c r="AM15" s="38">
        <v>21</v>
      </c>
      <c r="AN15" s="38">
        <f>G15*0.315450160771704</f>
        <v>0</v>
      </c>
      <c r="AO15" s="38">
        <f>G15*(1-0.315450160771704)</f>
        <v>0</v>
      </c>
      <c r="AP15" s="12" t="s">
        <v>261</v>
      </c>
      <c r="AU15" s="38">
        <f>AV15+AW15</f>
        <v>0</v>
      </c>
      <c r="AV15" s="38">
        <f>F15*AN15</f>
        <v>0</v>
      </c>
      <c r="AW15" s="38">
        <f>F15*AO15</f>
        <v>0</v>
      </c>
      <c r="AX15" s="12" t="s">
        <v>33</v>
      </c>
      <c r="AY15" s="12" t="s">
        <v>35</v>
      </c>
      <c r="AZ15" s="45" t="s">
        <v>197</v>
      </c>
      <c r="BB15" s="38">
        <f>AV15+AW15</f>
        <v>0</v>
      </c>
      <c r="BC15" s="38">
        <f>G15/(100-BD15)*100</f>
        <v>0</v>
      </c>
      <c r="BD15" s="38">
        <v>0</v>
      </c>
      <c r="BE15" s="38">
        <f>15</f>
        <v>15</v>
      </c>
      <c r="BG15" s="38">
        <f>F15*AN15</f>
        <v>0</v>
      </c>
      <c r="BH15" s="38">
        <f>F15*AO15</f>
        <v>0</v>
      </c>
      <c r="BI15" s="38">
        <f>F15*G15</f>
        <v>0</v>
      </c>
      <c r="BJ15" s="38"/>
      <c r="BK15" s="38">
        <v>11</v>
      </c>
      <c r="BV15" s="38">
        <v>21</v>
      </c>
    </row>
    <row r="16" spans="1:74" ht="27" customHeight="1">
      <c r="A16" s="15" t="s">
        <v>36</v>
      </c>
      <c r="B16" s="18" t="s">
        <v>189</v>
      </c>
      <c r="C16" s="53" t="s">
        <v>164</v>
      </c>
      <c r="D16" s="54"/>
      <c r="E16" s="18" t="s">
        <v>210</v>
      </c>
      <c r="F16" s="38">
        <v>18</v>
      </c>
      <c r="G16" s="38">
        <v>0</v>
      </c>
      <c r="H16" s="38">
        <f>F16*AN16</f>
        <v>0</v>
      </c>
      <c r="I16" s="38">
        <f>F16*AO16</f>
        <v>0</v>
      </c>
      <c r="J16" s="38">
        <f>F16*G16</f>
        <v>0</v>
      </c>
      <c r="K16" s="10"/>
      <c r="Y16" s="38">
        <f>IF(AP16="5",BI16,0)</f>
        <v>0</v>
      </c>
      <c r="AA16" s="38">
        <f>IF(AP16="1",BG16,0)</f>
        <v>0</v>
      </c>
      <c r="AB16" s="38">
        <f>IF(AP16="1",BH16,0)</f>
        <v>0</v>
      </c>
      <c r="AC16" s="38">
        <f>IF(AP16="7",BG16,0)</f>
        <v>0</v>
      </c>
      <c r="AD16" s="38">
        <f>IF(AP16="7",BH16,0)</f>
        <v>0</v>
      </c>
      <c r="AE16" s="38">
        <f>IF(AP16="2",BG16,0)</f>
        <v>0</v>
      </c>
      <c r="AF16" s="38">
        <f>IF(AP16="2",BH16,0)</f>
        <v>0</v>
      </c>
      <c r="AG16" s="38">
        <f>IF(AP16="0",BI16,0)</f>
        <v>0</v>
      </c>
      <c r="AH16" s="45" t="s">
        <v>178</v>
      </c>
      <c r="AI16" s="38">
        <f>IF(AM16=0,J16,0)</f>
        <v>0</v>
      </c>
      <c r="AJ16" s="38">
        <f>IF(AM16=15,J16,0)</f>
        <v>0</v>
      </c>
      <c r="AK16" s="38">
        <f>IF(AM16=21,J16,0)</f>
        <v>0</v>
      </c>
      <c r="AM16" s="38">
        <v>21</v>
      </c>
      <c r="AN16" s="38">
        <f>G16*0.342001086703408</f>
        <v>0</v>
      </c>
      <c r="AO16" s="38">
        <f>G16*(1-0.342001086703408)</f>
        <v>0</v>
      </c>
      <c r="AP16" s="12" t="s">
        <v>261</v>
      </c>
      <c r="AU16" s="38">
        <f>AV16+AW16</f>
        <v>0</v>
      </c>
      <c r="AV16" s="38">
        <f>F16*AN16</f>
        <v>0</v>
      </c>
      <c r="AW16" s="38">
        <f>F16*AO16</f>
        <v>0</v>
      </c>
      <c r="AX16" s="12" t="s">
        <v>33</v>
      </c>
      <c r="AY16" s="12" t="s">
        <v>35</v>
      </c>
      <c r="AZ16" s="45" t="s">
        <v>197</v>
      </c>
      <c r="BB16" s="38">
        <f>AV16+AW16</f>
        <v>0</v>
      </c>
      <c r="BC16" s="38">
        <f>G16/(100-BD16)*100</f>
        <v>0</v>
      </c>
      <c r="BD16" s="38">
        <v>0</v>
      </c>
      <c r="BE16" s="38">
        <f>16</f>
        <v>16</v>
      </c>
      <c r="BG16" s="38">
        <f>F16*AN16</f>
        <v>0</v>
      </c>
      <c r="BH16" s="38">
        <f>F16*AO16</f>
        <v>0</v>
      </c>
      <c r="BI16" s="38">
        <f>F16*G16</f>
        <v>0</v>
      </c>
      <c r="BJ16" s="38"/>
      <c r="BK16" s="38">
        <v>11</v>
      </c>
      <c r="BV16" s="38">
        <v>21</v>
      </c>
    </row>
    <row r="17" spans="1:46" ht="15" customHeight="1">
      <c r="A17" s="49" t="s">
        <v>178</v>
      </c>
      <c r="B17" s="7" t="s">
        <v>192</v>
      </c>
      <c r="C17" s="58" t="s">
        <v>71</v>
      </c>
      <c r="D17" s="59"/>
      <c r="E17" s="39" t="s">
        <v>237</v>
      </c>
      <c r="F17" s="39" t="s">
        <v>237</v>
      </c>
      <c r="G17" s="39" t="s">
        <v>237</v>
      </c>
      <c r="H17" s="48">
        <f>SUM(H18:H18)</f>
        <v>0</v>
      </c>
      <c r="I17" s="48">
        <f>SUM(I18:I18)</f>
        <v>0</v>
      </c>
      <c r="J17" s="48">
        <f>SUM(J18:J18)</f>
        <v>0</v>
      </c>
      <c r="K17" s="10"/>
      <c r="AH17" s="45" t="s">
        <v>178</v>
      </c>
      <c r="AR17" s="48">
        <f>SUM(AI18:AI18)</f>
        <v>0</v>
      </c>
      <c r="AS17" s="48">
        <f>SUM(AJ18:AJ18)</f>
        <v>0</v>
      </c>
      <c r="AT17" s="48">
        <f>SUM(AK18:AK18)</f>
        <v>0</v>
      </c>
    </row>
    <row r="18" spans="1:74" ht="27" customHeight="1">
      <c r="A18" s="15" t="s">
        <v>138</v>
      </c>
      <c r="B18" s="18" t="s">
        <v>94</v>
      </c>
      <c r="C18" s="53" t="s">
        <v>14</v>
      </c>
      <c r="D18" s="54"/>
      <c r="E18" s="18" t="s">
        <v>248</v>
      </c>
      <c r="F18" s="38">
        <v>12</v>
      </c>
      <c r="G18" s="38">
        <v>0</v>
      </c>
      <c r="H18" s="38">
        <f>F18*AN18</f>
        <v>0</v>
      </c>
      <c r="I18" s="38">
        <f>F18*AO18</f>
        <v>0</v>
      </c>
      <c r="J18" s="38">
        <f>F18*G18</f>
        <v>0</v>
      </c>
      <c r="K18" s="10"/>
      <c r="Y18" s="38">
        <f>IF(AP18="5",BI18,0)</f>
        <v>0</v>
      </c>
      <c r="AA18" s="38">
        <f>IF(AP18="1",BG18,0)</f>
        <v>0</v>
      </c>
      <c r="AB18" s="38">
        <f>IF(AP18="1",BH18,0)</f>
        <v>0</v>
      </c>
      <c r="AC18" s="38">
        <f>IF(AP18="7",BG18,0)</f>
        <v>0</v>
      </c>
      <c r="AD18" s="38">
        <f>IF(AP18="7",BH18,0)</f>
        <v>0</v>
      </c>
      <c r="AE18" s="38">
        <f>IF(AP18="2",BG18,0)</f>
        <v>0</v>
      </c>
      <c r="AF18" s="38">
        <f>IF(AP18="2",BH18,0)</f>
        <v>0</v>
      </c>
      <c r="AG18" s="38">
        <f>IF(AP18="0",BI18,0)</f>
        <v>0</v>
      </c>
      <c r="AH18" s="45" t="s">
        <v>178</v>
      </c>
      <c r="AI18" s="38">
        <f>IF(AM18=0,J18,0)</f>
        <v>0</v>
      </c>
      <c r="AJ18" s="38">
        <f>IF(AM18=15,J18,0)</f>
        <v>0</v>
      </c>
      <c r="AK18" s="38">
        <f>IF(AM18=21,J18,0)</f>
        <v>0</v>
      </c>
      <c r="AM18" s="38">
        <v>21</v>
      </c>
      <c r="AN18" s="38">
        <f>G18*0</f>
        <v>0</v>
      </c>
      <c r="AO18" s="38">
        <f>G18*(1-0)</f>
        <v>0</v>
      </c>
      <c r="AP18" s="12" t="s">
        <v>261</v>
      </c>
      <c r="AU18" s="38">
        <f>AV18+AW18</f>
        <v>0</v>
      </c>
      <c r="AV18" s="38">
        <f>F18*AN18</f>
        <v>0</v>
      </c>
      <c r="AW18" s="38">
        <f>F18*AO18</f>
        <v>0</v>
      </c>
      <c r="AX18" s="12" t="s">
        <v>130</v>
      </c>
      <c r="AY18" s="12" t="s">
        <v>35</v>
      </c>
      <c r="AZ18" s="45" t="s">
        <v>197</v>
      </c>
      <c r="BB18" s="38">
        <f>AV18+AW18</f>
        <v>0</v>
      </c>
      <c r="BC18" s="38">
        <f>G18/(100-BD18)*100</f>
        <v>0</v>
      </c>
      <c r="BD18" s="38">
        <v>0</v>
      </c>
      <c r="BE18" s="38">
        <f>18</f>
        <v>18</v>
      </c>
      <c r="BG18" s="38">
        <f>F18*AN18</f>
        <v>0</v>
      </c>
      <c r="BH18" s="38">
        <f>F18*AO18</f>
        <v>0</v>
      </c>
      <c r="BI18" s="38">
        <f>F18*G18</f>
        <v>0</v>
      </c>
      <c r="BJ18" s="38"/>
      <c r="BK18" s="38">
        <v>12</v>
      </c>
      <c r="BV18" s="38">
        <v>21</v>
      </c>
    </row>
    <row r="19" spans="1:46" ht="15" customHeight="1">
      <c r="A19" s="49" t="s">
        <v>178</v>
      </c>
      <c r="B19" s="7" t="s">
        <v>81</v>
      </c>
      <c r="C19" s="58" t="s">
        <v>2</v>
      </c>
      <c r="D19" s="59"/>
      <c r="E19" s="39" t="s">
        <v>237</v>
      </c>
      <c r="F19" s="39" t="s">
        <v>237</v>
      </c>
      <c r="G19" s="39" t="s">
        <v>237</v>
      </c>
      <c r="H19" s="48">
        <f>SUM(H20:H24)</f>
        <v>0</v>
      </c>
      <c r="I19" s="48">
        <f>SUM(I20:I24)</f>
        <v>0</v>
      </c>
      <c r="J19" s="48">
        <f>SUM(J20:J24)</f>
        <v>0</v>
      </c>
      <c r="K19" s="10"/>
      <c r="AH19" s="45" t="s">
        <v>178</v>
      </c>
      <c r="AR19" s="48">
        <f>SUM(AI20:AI24)</f>
        <v>0</v>
      </c>
      <c r="AS19" s="48">
        <f>SUM(AJ20:AJ24)</f>
        <v>0</v>
      </c>
      <c r="AT19" s="48">
        <f>SUM(AK20:AK24)</f>
        <v>0</v>
      </c>
    </row>
    <row r="20" spans="1:74" ht="27" customHeight="1">
      <c r="A20" s="15" t="s">
        <v>46</v>
      </c>
      <c r="B20" s="18" t="s">
        <v>150</v>
      </c>
      <c r="C20" s="53" t="s">
        <v>86</v>
      </c>
      <c r="D20" s="54"/>
      <c r="E20" s="18" t="s">
        <v>248</v>
      </c>
      <c r="F20" s="38">
        <v>34</v>
      </c>
      <c r="G20" s="38">
        <v>0</v>
      </c>
      <c r="H20" s="38">
        <f>F20*AN20</f>
        <v>0</v>
      </c>
      <c r="I20" s="38">
        <f>F20*AO20</f>
        <v>0</v>
      </c>
      <c r="J20" s="38">
        <f>F20*G20</f>
        <v>0</v>
      </c>
      <c r="K20" s="10"/>
      <c r="Y20" s="38">
        <f>IF(AP20="5",BI20,0)</f>
        <v>0</v>
      </c>
      <c r="AA20" s="38">
        <f>IF(AP20="1",BG20,0)</f>
        <v>0</v>
      </c>
      <c r="AB20" s="38">
        <f>IF(AP20="1",BH20,0)</f>
        <v>0</v>
      </c>
      <c r="AC20" s="38">
        <f>IF(AP20="7",BG20,0)</f>
        <v>0</v>
      </c>
      <c r="AD20" s="38">
        <f>IF(AP20="7",BH20,0)</f>
        <v>0</v>
      </c>
      <c r="AE20" s="38">
        <f>IF(AP20="2",BG20,0)</f>
        <v>0</v>
      </c>
      <c r="AF20" s="38">
        <f>IF(AP20="2",BH20,0)</f>
        <v>0</v>
      </c>
      <c r="AG20" s="38">
        <f>IF(AP20="0",BI20,0)</f>
        <v>0</v>
      </c>
      <c r="AH20" s="45" t="s">
        <v>178</v>
      </c>
      <c r="AI20" s="38">
        <f>IF(AM20=0,J20,0)</f>
        <v>0</v>
      </c>
      <c r="AJ20" s="38">
        <f>IF(AM20=15,J20,0)</f>
        <v>0</v>
      </c>
      <c r="AK20" s="38">
        <f>IF(AM20=21,J20,0)</f>
        <v>0</v>
      </c>
      <c r="AM20" s="38">
        <v>21</v>
      </c>
      <c r="AN20" s="38">
        <f>G20*0</f>
        <v>0</v>
      </c>
      <c r="AO20" s="38">
        <f>G20*(1-0)</f>
        <v>0</v>
      </c>
      <c r="AP20" s="12" t="s">
        <v>261</v>
      </c>
      <c r="AU20" s="38">
        <f>AV20+AW20</f>
        <v>0</v>
      </c>
      <c r="AV20" s="38">
        <f>F20*AN20</f>
        <v>0</v>
      </c>
      <c r="AW20" s="38">
        <f>F20*AO20</f>
        <v>0</v>
      </c>
      <c r="AX20" s="12" t="s">
        <v>232</v>
      </c>
      <c r="AY20" s="12" t="s">
        <v>35</v>
      </c>
      <c r="AZ20" s="45" t="s">
        <v>197</v>
      </c>
      <c r="BB20" s="38">
        <f>AV20+AW20</f>
        <v>0</v>
      </c>
      <c r="BC20" s="38">
        <f>G20/(100-BD20)*100</f>
        <v>0</v>
      </c>
      <c r="BD20" s="38">
        <v>0</v>
      </c>
      <c r="BE20" s="38">
        <f>20</f>
        <v>20</v>
      </c>
      <c r="BG20" s="38">
        <f>F20*AN20</f>
        <v>0</v>
      </c>
      <c r="BH20" s="38">
        <f>F20*AO20</f>
        <v>0</v>
      </c>
      <c r="BI20" s="38">
        <f>F20*G20</f>
        <v>0</v>
      </c>
      <c r="BJ20" s="38"/>
      <c r="BK20" s="38">
        <v>13</v>
      </c>
      <c r="BV20" s="38">
        <v>21</v>
      </c>
    </row>
    <row r="21" spans="1:74" ht="27" customHeight="1">
      <c r="A21" s="15" t="s">
        <v>263</v>
      </c>
      <c r="B21" s="18" t="s">
        <v>188</v>
      </c>
      <c r="C21" s="53" t="s">
        <v>40</v>
      </c>
      <c r="D21" s="54"/>
      <c r="E21" s="18" t="s">
        <v>248</v>
      </c>
      <c r="F21" s="38">
        <v>11</v>
      </c>
      <c r="G21" s="38">
        <v>0</v>
      </c>
      <c r="H21" s="38">
        <f>F21*AN21</f>
        <v>0</v>
      </c>
      <c r="I21" s="38">
        <f>F21*AO21</f>
        <v>0</v>
      </c>
      <c r="J21" s="38">
        <f>F21*G21</f>
        <v>0</v>
      </c>
      <c r="K21" s="10"/>
      <c r="Y21" s="38">
        <f>IF(AP21="5",BI21,0)</f>
        <v>0</v>
      </c>
      <c r="AA21" s="38">
        <f>IF(AP21="1",BG21,0)</f>
        <v>0</v>
      </c>
      <c r="AB21" s="38">
        <f>IF(AP21="1",BH21,0)</f>
        <v>0</v>
      </c>
      <c r="AC21" s="38">
        <f>IF(AP21="7",BG21,0)</f>
        <v>0</v>
      </c>
      <c r="AD21" s="38">
        <f>IF(AP21="7",BH21,0)</f>
        <v>0</v>
      </c>
      <c r="AE21" s="38">
        <f>IF(AP21="2",BG21,0)</f>
        <v>0</v>
      </c>
      <c r="AF21" s="38">
        <f>IF(AP21="2",BH21,0)</f>
        <v>0</v>
      </c>
      <c r="AG21" s="38">
        <f>IF(AP21="0",BI21,0)</f>
        <v>0</v>
      </c>
      <c r="AH21" s="45" t="s">
        <v>178</v>
      </c>
      <c r="AI21" s="38">
        <f>IF(AM21=0,J21,0)</f>
        <v>0</v>
      </c>
      <c r="AJ21" s="38">
        <f>IF(AM21=15,J21,0)</f>
        <v>0</v>
      </c>
      <c r="AK21" s="38">
        <f>IF(AM21=21,J21,0)</f>
        <v>0</v>
      </c>
      <c r="AM21" s="38">
        <v>21</v>
      </c>
      <c r="AN21" s="38">
        <f>G21*0</f>
        <v>0</v>
      </c>
      <c r="AO21" s="38">
        <f>G21*(1-0)</f>
        <v>0</v>
      </c>
      <c r="AP21" s="12" t="s">
        <v>261</v>
      </c>
      <c r="AU21" s="38">
        <f>AV21+AW21</f>
        <v>0</v>
      </c>
      <c r="AV21" s="38">
        <f>F21*AN21</f>
        <v>0</v>
      </c>
      <c r="AW21" s="38">
        <f>F21*AO21</f>
        <v>0</v>
      </c>
      <c r="AX21" s="12" t="s">
        <v>232</v>
      </c>
      <c r="AY21" s="12" t="s">
        <v>35</v>
      </c>
      <c r="AZ21" s="45" t="s">
        <v>197</v>
      </c>
      <c r="BB21" s="38">
        <f>AV21+AW21</f>
        <v>0</v>
      </c>
      <c r="BC21" s="38">
        <f>G21/(100-BD21)*100</f>
        <v>0</v>
      </c>
      <c r="BD21" s="38">
        <v>0</v>
      </c>
      <c r="BE21" s="38">
        <f>21</f>
        <v>21</v>
      </c>
      <c r="BG21" s="38">
        <f>F21*AN21</f>
        <v>0</v>
      </c>
      <c r="BH21" s="38">
        <f>F21*AO21</f>
        <v>0</v>
      </c>
      <c r="BI21" s="38">
        <f>F21*G21</f>
        <v>0</v>
      </c>
      <c r="BJ21" s="38"/>
      <c r="BK21" s="38">
        <v>13</v>
      </c>
      <c r="BV21" s="38">
        <v>21</v>
      </c>
    </row>
    <row r="22" spans="1:74" ht="27" customHeight="1">
      <c r="A22" s="15" t="s">
        <v>202</v>
      </c>
      <c r="B22" s="18" t="s">
        <v>230</v>
      </c>
      <c r="C22" s="53" t="s">
        <v>281</v>
      </c>
      <c r="D22" s="54"/>
      <c r="E22" s="18" t="s">
        <v>248</v>
      </c>
      <c r="F22" s="38">
        <v>34</v>
      </c>
      <c r="G22" s="38">
        <v>0</v>
      </c>
      <c r="H22" s="38">
        <f>F22*AN22</f>
        <v>0</v>
      </c>
      <c r="I22" s="38">
        <f>F22*AO22</f>
        <v>0</v>
      </c>
      <c r="J22" s="38">
        <f>F22*G22</f>
        <v>0</v>
      </c>
      <c r="K22" s="10"/>
      <c r="Y22" s="38">
        <f>IF(AP22="5",BI22,0)</f>
        <v>0</v>
      </c>
      <c r="AA22" s="38">
        <f>IF(AP22="1",BG22,0)</f>
        <v>0</v>
      </c>
      <c r="AB22" s="38">
        <f>IF(AP22="1",BH22,0)</f>
        <v>0</v>
      </c>
      <c r="AC22" s="38">
        <f>IF(AP22="7",BG22,0)</f>
        <v>0</v>
      </c>
      <c r="AD22" s="38">
        <f>IF(AP22="7",BH22,0)</f>
        <v>0</v>
      </c>
      <c r="AE22" s="38">
        <f>IF(AP22="2",BG22,0)</f>
        <v>0</v>
      </c>
      <c r="AF22" s="38">
        <f>IF(AP22="2",BH22,0)</f>
        <v>0</v>
      </c>
      <c r="AG22" s="38">
        <f>IF(AP22="0",BI22,0)</f>
        <v>0</v>
      </c>
      <c r="AH22" s="45" t="s">
        <v>178</v>
      </c>
      <c r="AI22" s="38">
        <f>IF(AM22=0,J22,0)</f>
        <v>0</v>
      </c>
      <c r="AJ22" s="38">
        <f>IF(AM22=15,J22,0)</f>
        <v>0</v>
      </c>
      <c r="AK22" s="38">
        <f>IF(AM22=21,J22,0)</f>
        <v>0</v>
      </c>
      <c r="AM22" s="38">
        <v>21</v>
      </c>
      <c r="AN22" s="38">
        <f>G22*0</f>
        <v>0</v>
      </c>
      <c r="AO22" s="38">
        <f>G22*(1-0)</f>
        <v>0</v>
      </c>
      <c r="AP22" s="12" t="s">
        <v>261</v>
      </c>
      <c r="AU22" s="38">
        <f>AV22+AW22</f>
        <v>0</v>
      </c>
      <c r="AV22" s="38">
        <f>F22*AN22</f>
        <v>0</v>
      </c>
      <c r="AW22" s="38">
        <f>F22*AO22</f>
        <v>0</v>
      </c>
      <c r="AX22" s="12" t="s">
        <v>232</v>
      </c>
      <c r="AY22" s="12" t="s">
        <v>35</v>
      </c>
      <c r="AZ22" s="45" t="s">
        <v>197</v>
      </c>
      <c r="BB22" s="38">
        <f>AV22+AW22</f>
        <v>0</v>
      </c>
      <c r="BC22" s="38">
        <f>G22/(100-BD22)*100</f>
        <v>0</v>
      </c>
      <c r="BD22" s="38">
        <v>0</v>
      </c>
      <c r="BE22" s="38">
        <f>22</f>
        <v>22</v>
      </c>
      <c r="BG22" s="38">
        <f>F22*AN22</f>
        <v>0</v>
      </c>
      <c r="BH22" s="38">
        <f>F22*AO22</f>
        <v>0</v>
      </c>
      <c r="BI22" s="38">
        <f>F22*G22</f>
        <v>0</v>
      </c>
      <c r="BJ22" s="38"/>
      <c r="BK22" s="38">
        <v>13</v>
      </c>
      <c r="BV22" s="38">
        <v>21</v>
      </c>
    </row>
    <row r="23" spans="1:74" ht="27" customHeight="1">
      <c r="A23" s="15" t="s">
        <v>108</v>
      </c>
      <c r="B23" s="18" t="s">
        <v>107</v>
      </c>
      <c r="C23" s="53" t="s">
        <v>260</v>
      </c>
      <c r="D23" s="54"/>
      <c r="E23" s="18" t="s">
        <v>248</v>
      </c>
      <c r="F23" s="38">
        <v>11</v>
      </c>
      <c r="G23" s="38">
        <v>0</v>
      </c>
      <c r="H23" s="38">
        <f>F23*AN23</f>
        <v>0</v>
      </c>
      <c r="I23" s="38">
        <f>F23*AO23</f>
        <v>0</v>
      </c>
      <c r="J23" s="38">
        <f>F23*G23</f>
        <v>0</v>
      </c>
      <c r="K23" s="10"/>
      <c r="Y23" s="38">
        <f>IF(AP23="5",BI23,0)</f>
        <v>0</v>
      </c>
      <c r="AA23" s="38">
        <f>IF(AP23="1",BG23,0)</f>
        <v>0</v>
      </c>
      <c r="AB23" s="38">
        <f>IF(AP23="1",BH23,0)</f>
        <v>0</v>
      </c>
      <c r="AC23" s="38">
        <f>IF(AP23="7",BG23,0)</f>
        <v>0</v>
      </c>
      <c r="AD23" s="38">
        <f>IF(AP23="7",BH23,0)</f>
        <v>0</v>
      </c>
      <c r="AE23" s="38">
        <f>IF(AP23="2",BG23,0)</f>
        <v>0</v>
      </c>
      <c r="AF23" s="38">
        <f>IF(AP23="2",BH23,0)</f>
        <v>0</v>
      </c>
      <c r="AG23" s="38">
        <f>IF(AP23="0",BI23,0)</f>
        <v>0</v>
      </c>
      <c r="AH23" s="45" t="s">
        <v>178</v>
      </c>
      <c r="AI23" s="38">
        <f>IF(AM23=0,J23,0)</f>
        <v>0</v>
      </c>
      <c r="AJ23" s="38">
        <f>IF(AM23=15,J23,0)</f>
        <v>0</v>
      </c>
      <c r="AK23" s="38">
        <f>IF(AM23=21,J23,0)</f>
        <v>0</v>
      </c>
      <c r="AM23" s="38">
        <v>21</v>
      </c>
      <c r="AN23" s="38">
        <f>G23*0</f>
        <v>0</v>
      </c>
      <c r="AO23" s="38">
        <f>G23*(1-0)</f>
        <v>0</v>
      </c>
      <c r="AP23" s="12" t="s">
        <v>261</v>
      </c>
      <c r="AU23" s="38">
        <f>AV23+AW23</f>
        <v>0</v>
      </c>
      <c r="AV23" s="38">
        <f>F23*AN23</f>
        <v>0</v>
      </c>
      <c r="AW23" s="38">
        <f>F23*AO23</f>
        <v>0</v>
      </c>
      <c r="AX23" s="12" t="s">
        <v>232</v>
      </c>
      <c r="AY23" s="12" t="s">
        <v>35</v>
      </c>
      <c r="AZ23" s="45" t="s">
        <v>197</v>
      </c>
      <c r="BB23" s="38">
        <f>AV23+AW23</f>
        <v>0</v>
      </c>
      <c r="BC23" s="38">
        <f>G23/(100-BD23)*100</f>
        <v>0</v>
      </c>
      <c r="BD23" s="38">
        <v>0</v>
      </c>
      <c r="BE23" s="38">
        <f>23</f>
        <v>23</v>
      </c>
      <c r="BG23" s="38">
        <f>F23*AN23</f>
        <v>0</v>
      </c>
      <c r="BH23" s="38">
        <f>F23*AO23</f>
        <v>0</v>
      </c>
      <c r="BI23" s="38">
        <f>F23*G23</f>
        <v>0</v>
      </c>
      <c r="BJ23" s="38"/>
      <c r="BK23" s="38">
        <v>13</v>
      </c>
      <c r="BV23" s="38">
        <v>21</v>
      </c>
    </row>
    <row r="24" spans="1:74" ht="27" customHeight="1">
      <c r="A24" s="15" t="s">
        <v>151</v>
      </c>
      <c r="B24" s="18" t="s">
        <v>149</v>
      </c>
      <c r="C24" s="53" t="s">
        <v>152</v>
      </c>
      <c r="D24" s="54"/>
      <c r="E24" s="18" t="s">
        <v>248</v>
      </c>
      <c r="F24" s="38">
        <v>7</v>
      </c>
      <c r="G24" s="38">
        <v>0</v>
      </c>
      <c r="H24" s="38">
        <f>F24*AN24</f>
        <v>0</v>
      </c>
      <c r="I24" s="38">
        <f>F24*AO24</f>
        <v>0</v>
      </c>
      <c r="J24" s="38">
        <f>F24*G24</f>
        <v>0</v>
      </c>
      <c r="K24" s="10"/>
      <c r="Y24" s="38">
        <f>IF(AP24="5",BI24,0)</f>
        <v>0</v>
      </c>
      <c r="AA24" s="38">
        <f>IF(AP24="1",BG24,0)</f>
        <v>0</v>
      </c>
      <c r="AB24" s="38">
        <f>IF(AP24="1",BH24,0)</f>
        <v>0</v>
      </c>
      <c r="AC24" s="38">
        <f>IF(AP24="7",BG24,0)</f>
        <v>0</v>
      </c>
      <c r="AD24" s="38">
        <f>IF(AP24="7",BH24,0)</f>
        <v>0</v>
      </c>
      <c r="AE24" s="38">
        <f>IF(AP24="2",BG24,0)</f>
        <v>0</v>
      </c>
      <c r="AF24" s="38">
        <f>IF(AP24="2",BH24,0)</f>
        <v>0</v>
      </c>
      <c r="AG24" s="38">
        <f>IF(AP24="0",BI24,0)</f>
        <v>0</v>
      </c>
      <c r="AH24" s="45" t="s">
        <v>178</v>
      </c>
      <c r="AI24" s="38">
        <f>IF(AM24=0,J24,0)</f>
        <v>0</v>
      </c>
      <c r="AJ24" s="38">
        <f>IF(AM24=15,J24,0)</f>
        <v>0</v>
      </c>
      <c r="AK24" s="38">
        <f>IF(AM24=21,J24,0)</f>
        <v>0</v>
      </c>
      <c r="AM24" s="38">
        <v>21</v>
      </c>
      <c r="AN24" s="38">
        <f>G24*0</f>
        <v>0</v>
      </c>
      <c r="AO24" s="38">
        <f>G24*(1-0)</f>
        <v>0</v>
      </c>
      <c r="AP24" s="12" t="s">
        <v>261</v>
      </c>
      <c r="AU24" s="38">
        <f>AV24+AW24</f>
        <v>0</v>
      </c>
      <c r="AV24" s="38">
        <f>F24*AN24</f>
        <v>0</v>
      </c>
      <c r="AW24" s="38">
        <f>F24*AO24</f>
        <v>0</v>
      </c>
      <c r="AX24" s="12" t="s">
        <v>232</v>
      </c>
      <c r="AY24" s="12" t="s">
        <v>35</v>
      </c>
      <c r="AZ24" s="45" t="s">
        <v>197</v>
      </c>
      <c r="BB24" s="38">
        <f>AV24+AW24</f>
        <v>0</v>
      </c>
      <c r="BC24" s="38">
        <f>G24/(100-BD24)*100</f>
        <v>0</v>
      </c>
      <c r="BD24" s="38">
        <v>0</v>
      </c>
      <c r="BE24" s="38">
        <f>24</f>
        <v>24</v>
      </c>
      <c r="BG24" s="38">
        <f>F24*AN24</f>
        <v>0</v>
      </c>
      <c r="BH24" s="38">
        <f>F24*AO24</f>
        <v>0</v>
      </c>
      <c r="BI24" s="38">
        <f>F24*G24</f>
        <v>0</v>
      </c>
      <c r="BJ24" s="38"/>
      <c r="BK24" s="38">
        <v>13</v>
      </c>
      <c r="BV24" s="38">
        <v>21</v>
      </c>
    </row>
    <row r="25" spans="1:46" ht="15" customHeight="1">
      <c r="A25" s="49" t="s">
        <v>178</v>
      </c>
      <c r="B25" s="7" t="s">
        <v>109</v>
      </c>
      <c r="C25" s="58" t="s">
        <v>220</v>
      </c>
      <c r="D25" s="59"/>
      <c r="E25" s="39" t="s">
        <v>237</v>
      </c>
      <c r="F25" s="39" t="s">
        <v>237</v>
      </c>
      <c r="G25" s="39" t="s">
        <v>237</v>
      </c>
      <c r="H25" s="48">
        <f>SUM(H26:H27)</f>
        <v>0</v>
      </c>
      <c r="I25" s="48">
        <f>SUM(I26:I27)</f>
        <v>0</v>
      </c>
      <c r="J25" s="48">
        <f>SUM(J26:J27)</f>
        <v>0</v>
      </c>
      <c r="K25" s="10"/>
      <c r="AH25" s="45" t="s">
        <v>178</v>
      </c>
      <c r="AR25" s="48">
        <f>SUM(AI26:AI27)</f>
        <v>0</v>
      </c>
      <c r="AS25" s="48">
        <f>SUM(AJ26:AJ27)</f>
        <v>0</v>
      </c>
      <c r="AT25" s="48">
        <f>SUM(AK26:AK27)</f>
        <v>0</v>
      </c>
    </row>
    <row r="26" spans="1:74" ht="27" customHeight="1">
      <c r="A26" s="15" t="s">
        <v>212</v>
      </c>
      <c r="B26" s="18" t="s">
        <v>284</v>
      </c>
      <c r="C26" s="53" t="s">
        <v>64</v>
      </c>
      <c r="D26" s="54"/>
      <c r="E26" s="18" t="s">
        <v>256</v>
      </c>
      <c r="F26" s="38">
        <v>269</v>
      </c>
      <c r="G26" s="38">
        <v>0</v>
      </c>
      <c r="H26" s="38">
        <f>F26*AN26</f>
        <v>0</v>
      </c>
      <c r="I26" s="38">
        <f>F26*AO26</f>
        <v>0</v>
      </c>
      <c r="J26" s="38">
        <f>F26*G26</f>
        <v>0</v>
      </c>
      <c r="K26" s="10"/>
      <c r="Y26" s="38">
        <f>IF(AP26="5",BI26,0)</f>
        <v>0</v>
      </c>
      <c r="AA26" s="38">
        <f>IF(AP26="1",BG26,0)</f>
        <v>0</v>
      </c>
      <c r="AB26" s="38">
        <f>IF(AP26="1",BH26,0)</f>
        <v>0</v>
      </c>
      <c r="AC26" s="38">
        <f>IF(AP26="7",BG26,0)</f>
        <v>0</v>
      </c>
      <c r="AD26" s="38">
        <f>IF(AP26="7",BH26,0)</f>
        <v>0</v>
      </c>
      <c r="AE26" s="38">
        <f>IF(AP26="2",BG26,0)</f>
        <v>0</v>
      </c>
      <c r="AF26" s="38">
        <f>IF(AP26="2",BH26,0)</f>
        <v>0</v>
      </c>
      <c r="AG26" s="38">
        <f>IF(AP26="0",BI26,0)</f>
        <v>0</v>
      </c>
      <c r="AH26" s="45" t="s">
        <v>178</v>
      </c>
      <c r="AI26" s="38">
        <f>IF(AM26=0,J26,0)</f>
        <v>0</v>
      </c>
      <c r="AJ26" s="38">
        <f>IF(AM26=15,J26,0)</f>
        <v>0</v>
      </c>
      <c r="AK26" s="38">
        <f>IF(AM26=21,J26,0)</f>
        <v>0</v>
      </c>
      <c r="AM26" s="38">
        <v>21</v>
      </c>
      <c r="AN26" s="38">
        <f>G26*0.0852029738798605</f>
        <v>0</v>
      </c>
      <c r="AO26" s="38">
        <f>G26*(1-0.0852029738798605)</f>
        <v>0</v>
      </c>
      <c r="AP26" s="12" t="s">
        <v>261</v>
      </c>
      <c r="AU26" s="38">
        <f>AV26+AW26</f>
        <v>0</v>
      </c>
      <c r="AV26" s="38">
        <f>F26*AN26</f>
        <v>0</v>
      </c>
      <c r="AW26" s="38">
        <f>F26*AO26</f>
        <v>0</v>
      </c>
      <c r="AX26" s="12" t="s">
        <v>182</v>
      </c>
      <c r="AY26" s="12" t="s">
        <v>35</v>
      </c>
      <c r="AZ26" s="45" t="s">
        <v>197</v>
      </c>
      <c r="BB26" s="38">
        <f>AV26+AW26</f>
        <v>0</v>
      </c>
      <c r="BC26" s="38">
        <f>G26/(100-BD26)*100</f>
        <v>0</v>
      </c>
      <c r="BD26" s="38">
        <v>0</v>
      </c>
      <c r="BE26" s="38">
        <f>26</f>
        <v>26</v>
      </c>
      <c r="BG26" s="38">
        <f>F26*AN26</f>
        <v>0</v>
      </c>
      <c r="BH26" s="38">
        <f>F26*AO26</f>
        <v>0</v>
      </c>
      <c r="BI26" s="38">
        <f>F26*G26</f>
        <v>0</v>
      </c>
      <c r="BJ26" s="38"/>
      <c r="BK26" s="38">
        <v>15</v>
      </c>
      <c r="BV26" s="38">
        <v>21</v>
      </c>
    </row>
    <row r="27" spans="1:74" ht="27" customHeight="1">
      <c r="A27" s="15" t="s">
        <v>192</v>
      </c>
      <c r="B27" s="18" t="s">
        <v>173</v>
      </c>
      <c r="C27" s="53" t="s">
        <v>249</v>
      </c>
      <c r="D27" s="54"/>
      <c r="E27" s="18" t="s">
        <v>256</v>
      </c>
      <c r="F27" s="38">
        <v>269</v>
      </c>
      <c r="G27" s="38">
        <v>0</v>
      </c>
      <c r="H27" s="38">
        <f>F27*AN27</f>
        <v>0</v>
      </c>
      <c r="I27" s="38">
        <f>F27*AO27</f>
        <v>0</v>
      </c>
      <c r="J27" s="38">
        <f>F27*G27</f>
        <v>0</v>
      </c>
      <c r="K27" s="10"/>
      <c r="Y27" s="38">
        <f>IF(AP27="5",BI27,0)</f>
        <v>0</v>
      </c>
      <c r="AA27" s="38">
        <f>IF(AP27="1",BG27,0)</f>
        <v>0</v>
      </c>
      <c r="AB27" s="38">
        <f>IF(AP27="1",BH27,0)</f>
        <v>0</v>
      </c>
      <c r="AC27" s="38">
        <f>IF(AP27="7",BG27,0)</f>
        <v>0</v>
      </c>
      <c r="AD27" s="38">
        <f>IF(AP27="7",BH27,0)</f>
        <v>0</v>
      </c>
      <c r="AE27" s="38">
        <f>IF(AP27="2",BG27,0)</f>
        <v>0</v>
      </c>
      <c r="AF27" s="38">
        <f>IF(AP27="2",BH27,0)</f>
        <v>0</v>
      </c>
      <c r="AG27" s="38">
        <f>IF(AP27="0",BI27,0)</f>
        <v>0</v>
      </c>
      <c r="AH27" s="45" t="s">
        <v>178</v>
      </c>
      <c r="AI27" s="38">
        <f>IF(AM27=0,J27,0)</f>
        <v>0</v>
      </c>
      <c r="AJ27" s="38">
        <f>IF(AM27=15,J27,0)</f>
        <v>0</v>
      </c>
      <c r="AK27" s="38">
        <f>IF(AM27=21,J27,0)</f>
        <v>0</v>
      </c>
      <c r="AM27" s="38">
        <v>21</v>
      </c>
      <c r="AN27" s="38">
        <f>G27*0</f>
        <v>0</v>
      </c>
      <c r="AO27" s="38">
        <f>G27*(1-0)</f>
        <v>0</v>
      </c>
      <c r="AP27" s="12" t="s">
        <v>261</v>
      </c>
      <c r="AU27" s="38">
        <f>AV27+AW27</f>
        <v>0</v>
      </c>
      <c r="AV27" s="38">
        <f>F27*AN27</f>
        <v>0</v>
      </c>
      <c r="AW27" s="38">
        <f>F27*AO27</f>
        <v>0</v>
      </c>
      <c r="AX27" s="12" t="s">
        <v>182</v>
      </c>
      <c r="AY27" s="12" t="s">
        <v>35</v>
      </c>
      <c r="AZ27" s="45" t="s">
        <v>197</v>
      </c>
      <c r="BB27" s="38">
        <f>AV27+AW27</f>
        <v>0</v>
      </c>
      <c r="BC27" s="38">
        <f>G27/(100-BD27)*100</f>
        <v>0</v>
      </c>
      <c r="BD27" s="38">
        <v>0</v>
      </c>
      <c r="BE27" s="38">
        <f>27</f>
        <v>27</v>
      </c>
      <c r="BG27" s="38">
        <f>F27*AN27</f>
        <v>0</v>
      </c>
      <c r="BH27" s="38">
        <f>F27*AO27</f>
        <v>0</v>
      </c>
      <c r="BI27" s="38">
        <f>F27*G27</f>
        <v>0</v>
      </c>
      <c r="BJ27" s="38"/>
      <c r="BK27" s="38">
        <v>15</v>
      </c>
      <c r="BV27" s="38">
        <v>21</v>
      </c>
    </row>
    <row r="28" spans="1:46" ht="15" customHeight="1">
      <c r="A28" s="49" t="s">
        <v>178</v>
      </c>
      <c r="B28" s="7" t="s">
        <v>24</v>
      </c>
      <c r="C28" s="58" t="s">
        <v>211</v>
      </c>
      <c r="D28" s="59"/>
      <c r="E28" s="39" t="s">
        <v>237</v>
      </c>
      <c r="F28" s="39" t="s">
        <v>237</v>
      </c>
      <c r="G28" s="39" t="s">
        <v>237</v>
      </c>
      <c r="H28" s="48">
        <f>SUM(H29:H29)</f>
        <v>0</v>
      </c>
      <c r="I28" s="48">
        <f>SUM(I29:I29)</f>
        <v>0</v>
      </c>
      <c r="J28" s="48">
        <f>SUM(J29:J29)</f>
        <v>0</v>
      </c>
      <c r="K28" s="10"/>
      <c r="AH28" s="45" t="s">
        <v>178</v>
      </c>
      <c r="AR28" s="48">
        <f>SUM(AI29:AI29)</f>
        <v>0</v>
      </c>
      <c r="AS28" s="48">
        <f>SUM(AJ29:AJ29)</f>
        <v>0</v>
      </c>
      <c r="AT28" s="48">
        <f>SUM(AK29:AK29)</f>
        <v>0</v>
      </c>
    </row>
    <row r="29" spans="1:74" ht="27" customHeight="1">
      <c r="A29" s="15" t="s">
        <v>81</v>
      </c>
      <c r="B29" s="18" t="s">
        <v>140</v>
      </c>
      <c r="C29" s="53" t="s">
        <v>269</v>
      </c>
      <c r="D29" s="54"/>
      <c r="E29" s="18" t="s">
        <v>248</v>
      </c>
      <c r="F29" s="38">
        <v>23</v>
      </c>
      <c r="G29" s="38">
        <v>0</v>
      </c>
      <c r="H29" s="38">
        <f>F29*AN29</f>
        <v>0</v>
      </c>
      <c r="I29" s="38">
        <f>F29*AO29</f>
        <v>0</v>
      </c>
      <c r="J29" s="38">
        <f>F29*G29</f>
        <v>0</v>
      </c>
      <c r="K29" s="10"/>
      <c r="Y29" s="38">
        <f>IF(AP29="5",BI29,0)</f>
        <v>0</v>
      </c>
      <c r="AA29" s="38">
        <f>IF(AP29="1",BG29,0)</f>
        <v>0</v>
      </c>
      <c r="AB29" s="38">
        <f>IF(AP29="1",BH29,0)</f>
        <v>0</v>
      </c>
      <c r="AC29" s="38">
        <f>IF(AP29="7",BG29,0)</f>
        <v>0</v>
      </c>
      <c r="AD29" s="38">
        <f>IF(AP29="7",BH29,0)</f>
        <v>0</v>
      </c>
      <c r="AE29" s="38">
        <f>IF(AP29="2",BG29,0)</f>
        <v>0</v>
      </c>
      <c r="AF29" s="38">
        <f>IF(AP29="2",BH29,0)</f>
        <v>0</v>
      </c>
      <c r="AG29" s="38">
        <f>IF(AP29="0",BI29,0)</f>
        <v>0</v>
      </c>
      <c r="AH29" s="45" t="s">
        <v>178</v>
      </c>
      <c r="AI29" s="38">
        <f>IF(AM29=0,J29,0)</f>
        <v>0</v>
      </c>
      <c r="AJ29" s="38">
        <f>IF(AM29=15,J29,0)</f>
        <v>0</v>
      </c>
      <c r="AK29" s="38">
        <f>IF(AM29=21,J29,0)</f>
        <v>0</v>
      </c>
      <c r="AM29" s="38">
        <v>21</v>
      </c>
      <c r="AN29" s="38">
        <f>G29*0</f>
        <v>0</v>
      </c>
      <c r="AO29" s="38">
        <f>G29*(1-0)</f>
        <v>0</v>
      </c>
      <c r="AP29" s="12" t="s">
        <v>261</v>
      </c>
      <c r="AU29" s="38">
        <f>AV29+AW29</f>
        <v>0</v>
      </c>
      <c r="AV29" s="38">
        <f>F29*AN29</f>
        <v>0</v>
      </c>
      <c r="AW29" s="38">
        <f>F29*AO29</f>
        <v>0</v>
      </c>
      <c r="AX29" s="12" t="s">
        <v>238</v>
      </c>
      <c r="AY29" s="12" t="s">
        <v>35</v>
      </c>
      <c r="AZ29" s="45" t="s">
        <v>197</v>
      </c>
      <c r="BB29" s="38">
        <f>AV29+AW29</f>
        <v>0</v>
      </c>
      <c r="BC29" s="38">
        <f>G29/(100-BD29)*100</f>
        <v>0</v>
      </c>
      <c r="BD29" s="38">
        <v>0</v>
      </c>
      <c r="BE29" s="38">
        <f>29</f>
        <v>29</v>
      </c>
      <c r="BG29" s="38">
        <f>F29*AN29</f>
        <v>0</v>
      </c>
      <c r="BH29" s="38">
        <f>F29*AO29</f>
        <v>0</v>
      </c>
      <c r="BI29" s="38">
        <f>F29*G29</f>
        <v>0</v>
      </c>
      <c r="BJ29" s="38"/>
      <c r="BK29" s="38">
        <v>16</v>
      </c>
      <c r="BV29" s="38">
        <v>21</v>
      </c>
    </row>
    <row r="30" spans="1:46" ht="15" customHeight="1">
      <c r="A30" s="49" t="s">
        <v>178</v>
      </c>
      <c r="B30" s="7" t="s">
        <v>180</v>
      </c>
      <c r="C30" s="58" t="s">
        <v>41</v>
      </c>
      <c r="D30" s="59"/>
      <c r="E30" s="39" t="s">
        <v>237</v>
      </c>
      <c r="F30" s="39" t="s">
        <v>237</v>
      </c>
      <c r="G30" s="39" t="s">
        <v>237</v>
      </c>
      <c r="H30" s="48">
        <f>SUM(H31:H32)</f>
        <v>0</v>
      </c>
      <c r="I30" s="48">
        <f>SUM(I31:I32)</f>
        <v>0</v>
      </c>
      <c r="J30" s="48">
        <f>SUM(J31:J32)</f>
        <v>0</v>
      </c>
      <c r="K30" s="10"/>
      <c r="AH30" s="45" t="s">
        <v>178</v>
      </c>
      <c r="AR30" s="48">
        <f>SUM(AI31:AI32)</f>
        <v>0</v>
      </c>
      <c r="AS30" s="48">
        <f>SUM(AJ31:AJ32)</f>
        <v>0</v>
      </c>
      <c r="AT30" s="48">
        <f>SUM(AK31:AK32)</f>
        <v>0</v>
      </c>
    </row>
    <row r="31" spans="1:74" ht="13.5" customHeight="1">
      <c r="A31" s="15" t="s">
        <v>155</v>
      </c>
      <c r="B31" s="18" t="s">
        <v>87</v>
      </c>
      <c r="C31" s="53" t="s">
        <v>28</v>
      </c>
      <c r="D31" s="54"/>
      <c r="E31" s="18" t="s">
        <v>248</v>
      </c>
      <c r="F31" s="38">
        <v>23</v>
      </c>
      <c r="G31" s="38">
        <v>0</v>
      </c>
      <c r="H31" s="38">
        <f>F31*AN31</f>
        <v>0</v>
      </c>
      <c r="I31" s="38">
        <f>F31*AO31</f>
        <v>0</v>
      </c>
      <c r="J31" s="38">
        <f>F31*G31</f>
        <v>0</v>
      </c>
      <c r="K31" s="10"/>
      <c r="Y31" s="38">
        <f>IF(AP31="5",BI31,0)</f>
        <v>0</v>
      </c>
      <c r="AA31" s="38">
        <f>IF(AP31="1",BG31,0)</f>
        <v>0</v>
      </c>
      <c r="AB31" s="38">
        <f>IF(AP31="1",BH31,0)</f>
        <v>0</v>
      </c>
      <c r="AC31" s="38">
        <f>IF(AP31="7",BG31,0)</f>
        <v>0</v>
      </c>
      <c r="AD31" s="38">
        <f>IF(AP31="7",BH31,0)</f>
        <v>0</v>
      </c>
      <c r="AE31" s="38">
        <f>IF(AP31="2",BG31,0)</f>
        <v>0</v>
      </c>
      <c r="AF31" s="38">
        <f>IF(AP31="2",BH31,0)</f>
        <v>0</v>
      </c>
      <c r="AG31" s="38">
        <f>IF(AP31="0",BI31,0)</f>
        <v>0</v>
      </c>
      <c r="AH31" s="45" t="s">
        <v>178</v>
      </c>
      <c r="AI31" s="38">
        <f>IF(AM31=0,J31,0)</f>
        <v>0</v>
      </c>
      <c r="AJ31" s="38">
        <f>IF(AM31=15,J31,0)</f>
        <v>0</v>
      </c>
      <c r="AK31" s="38">
        <f>IF(AM31=21,J31,0)</f>
        <v>0</v>
      </c>
      <c r="AM31" s="38">
        <v>21</v>
      </c>
      <c r="AN31" s="38">
        <f>G31*0</f>
        <v>0</v>
      </c>
      <c r="AO31" s="38">
        <f>G31*(1-0)</f>
        <v>0</v>
      </c>
      <c r="AP31" s="12" t="s">
        <v>261</v>
      </c>
      <c r="AU31" s="38">
        <f>AV31+AW31</f>
        <v>0</v>
      </c>
      <c r="AV31" s="38">
        <f>F31*AN31</f>
        <v>0</v>
      </c>
      <c r="AW31" s="38">
        <f>F31*AO31</f>
        <v>0</v>
      </c>
      <c r="AX31" s="12" t="s">
        <v>59</v>
      </c>
      <c r="AY31" s="12" t="s">
        <v>35</v>
      </c>
      <c r="AZ31" s="45" t="s">
        <v>197</v>
      </c>
      <c r="BB31" s="38">
        <f>AV31+AW31</f>
        <v>0</v>
      </c>
      <c r="BC31" s="38">
        <f>G31/(100-BD31)*100</f>
        <v>0</v>
      </c>
      <c r="BD31" s="38">
        <v>0</v>
      </c>
      <c r="BE31" s="38">
        <f>31</f>
        <v>31</v>
      </c>
      <c r="BG31" s="38">
        <f>F31*AN31</f>
        <v>0</v>
      </c>
      <c r="BH31" s="38">
        <f>F31*AO31</f>
        <v>0</v>
      </c>
      <c r="BI31" s="38">
        <f>F31*G31</f>
        <v>0</v>
      </c>
      <c r="BJ31" s="38"/>
      <c r="BK31" s="38">
        <v>17</v>
      </c>
      <c r="BV31" s="38">
        <v>21</v>
      </c>
    </row>
    <row r="32" spans="1:74" ht="13.5" customHeight="1">
      <c r="A32" s="15" t="s">
        <v>109</v>
      </c>
      <c r="B32" s="18" t="s">
        <v>190</v>
      </c>
      <c r="C32" s="53" t="s">
        <v>133</v>
      </c>
      <c r="D32" s="54"/>
      <c r="E32" s="18" t="s">
        <v>248</v>
      </c>
      <c r="F32" s="38">
        <v>52</v>
      </c>
      <c r="G32" s="38">
        <v>0</v>
      </c>
      <c r="H32" s="38">
        <f>F32*AN32</f>
        <v>0</v>
      </c>
      <c r="I32" s="38">
        <f>F32*AO32</f>
        <v>0</v>
      </c>
      <c r="J32" s="38">
        <f>F32*G32</f>
        <v>0</v>
      </c>
      <c r="K32" s="10"/>
      <c r="Y32" s="38">
        <f>IF(AP32="5",BI32,0)</f>
        <v>0</v>
      </c>
      <c r="AA32" s="38">
        <f>IF(AP32="1",BG32,0)</f>
        <v>0</v>
      </c>
      <c r="AB32" s="38">
        <f>IF(AP32="1",BH32,0)</f>
        <v>0</v>
      </c>
      <c r="AC32" s="38">
        <f>IF(AP32="7",BG32,0)</f>
        <v>0</v>
      </c>
      <c r="AD32" s="38">
        <f>IF(AP32="7",BH32,0)</f>
        <v>0</v>
      </c>
      <c r="AE32" s="38">
        <f>IF(AP32="2",BG32,0)</f>
        <v>0</v>
      </c>
      <c r="AF32" s="38">
        <f>IF(AP32="2",BH32,0)</f>
        <v>0</v>
      </c>
      <c r="AG32" s="38">
        <f>IF(AP32="0",BI32,0)</f>
        <v>0</v>
      </c>
      <c r="AH32" s="45" t="s">
        <v>178</v>
      </c>
      <c r="AI32" s="38">
        <f>IF(AM32=0,J32,0)</f>
        <v>0</v>
      </c>
      <c r="AJ32" s="38">
        <f>IF(AM32=15,J32,0)</f>
        <v>0</v>
      </c>
      <c r="AK32" s="38">
        <f>IF(AM32=21,J32,0)</f>
        <v>0</v>
      </c>
      <c r="AM32" s="38">
        <v>21</v>
      </c>
      <c r="AN32" s="38">
        <f>G32*0</f>
        <v>0</v>
      </c>
      <c r="AO32" s="38">
        <f>G32*(1-0)</f>
        <v>0</v>
      </c>
      <c r="AP32" s="12" t="s">
        <v>261</v>
      </c>
      <c r="AU32" s="38">
        <f>AV32+AW32</f>
        <v>0</v>
      </c>
      <c r="AV32" s="38">
        <f>F32*AN32</f>
        <v>0</v>
      </c>
      <c r="AW32" s="38">
        <f>F32*AO32</f>
        <v>0</v>
      </c>
      <c r="AX32" s="12" t="s">
        <v>59</v>
      </c>
      <c r="AY32" s="12" t="s">
        <v>35</v>
      </c>
      <c r="AZ32" s="45" t="s">
        <v>197</v>
      </c>
      <c r="BB32" s="38">
        <f>AV32+AW32</f>
        <v>0</v>
      </c>
      <c r="BC32" s="38">
        <f>G32/(100-BD32)*100</f>
        <v>0</v>
      </c>
      <c r="BD32" s="38">
        <v>0</v>
      </c>
      <c r="BE32" s="38">
        <f>32</f>
        <v>32</v>
      </c>
      <c r="BG32" s="38">
        <f>F32*AN32</f>
        <v>0</v>
      </c>
      <c r="BH32" s="38">
        <f>F32*AO32</f>
        <v>0</v>
      </c>
      <c r="BI32" s="38">
        <f>F32*G32</f>
        <v>0</v>
      </c>
      <c r="BJ32" s="38"/>
      <c r="BK32" s="38">
        <v>17</v>
      </c>
      <c r="BV32" s="38">
        <v>21</v>
      </c>
    </row>
    <row r="33" spans="1:46" ht="15" customHeight="1">
      <c r="A33" s="49" t="s">
        <v>178</v>
      </c>
      <c r="B33" s="7" t="s">
        <v>96</v>
      </c>
      <c r="C33" s="58" t="s">
        <v>231</v>
      </c>
      <c r="D33" s="59"/>
      <c r="E33" s="39" t="s">
        <v>237</v>
      </c>
      <c r="F33" s="39" t="s">
        <v>237</v>
      </c>
      <c r="G33" s="39" t="s">
        <v>237</v>
      </c>
      <c r="H33" s="48">
        <f>SUM(H34:H34)</f>
        <v>0</v>
      </c>
      <c r="I33" s="48">
        <f>SUM(I34:I34)</f>
        <v>0</v>
      </c>
      <c r="J33" s="48">
        <f>SUM(J34:J34)</f>
        <v>0</v>
      </c>
      <c r="K33" s="10"/>
      <c r="AH33" s="45" t="s">
        <v>178</v>
      </c>
      <c r="AR33" s="48">
        <f>SUM(AI34:AI34)</f>
        <v>0</v>
      </c>
      <c r="AS33" s="48">
        <f>SUM(AJ34:AJ34)</f>
        <v>0</v>
      </c>
      <c r="AT33" s="48">
        <f>SUM(AK34:AK34)</f>
        <v>0</v>
      </c>
    </row>
    <row r="34" spans="1:74" ht="27" customHeight="1">
      <c r="A34" s="15" t="s">
        <v>24</v>
      </c>
      <c r="B34" s="18" t="s">
        <v>184</v>
      </c>
      <c r="C34" s="53" t="s">
        <v>106</v>
      </c>
      <c r="D34" s="54"/>
      <c r="E34" s="18" t="s">
        <v>248</v>
      </c>
      <c r="F34" s="38">
        <v>23</v>
      </c>
      <c r="G34" s="38">
        <v>0</v>
      </c>
      <c r="H34" s="38">
        <f>F34*AN34</f>
        <v>0</v>
      </c>
      <c r="I34" s="38">
        <f>F34*AO34</f>
        <v>0</v>
      </c>
      <c r="J34" s="38">
        <f>F34*G34</f>
        <v>0</v>
      </c>
      <c r="K34" s="10"/>
      <c r="Y34" s="38">
        <f>IF(AP34="5",BI34,0)</f>
        <v>0</v>
      </c>
      <c r="AA34" s="38">
        <f>IF(AP34="1",BG34,0)</f>
        <v>0</v>
      </c>
      <c r="AB34" s="38">
        <f>IF(AP34="1",BH34,0)</f>
        <v>0</v>
      </c>
      <c r="AC34" s="38">
        <f>IF(AP34="7",BG34,0)</f>
        <v>0</v>
      </c>
      <c r="AD34" s="38">
        <f>IF(AP34="7",BH34,0)</f>
        <v>0</v>
      </c>
      <c r="AE34" s="38">
        <f>IF(AP34="2",BG34,0)</f>
        <v>0</v>
      </c>
      <c r="AF34" s="38">
        <f>IF(AP34="2",BH34,0)</f>
        <v>0</v>
      </c>
      <c r="AG34" s="38">
        <f>IF(AP34="0",BI34,0)</f>
        <v>0</v>
      </c>
      <c r="AH34" s="45" t="s">
        <v>178</v>
      </c>
      <c r="AI34" s="38">
        <f>IF(AM34=0,J34,0)</f>
        <v>0</v>
      </c>
      <c r="AJ34" s="38">
        <f>IF(AM34=15,J34,0)</f>
        <v>0</v>
      </c>
      <c r="AK34" s="38">
        <f>IF(AM34=21,J34,0)</f>
        <v>0</v>
      </c>
      <c r="AM34" s="38">
        <v>21</v>
      </c>
      <c r="AN34" s="38">
        <f>G34*0.494559770937724</f>
        <v>0</v>
      </c>
      <c r="AO34" s="38">
        <f>G34*(1-0.494559770937724)</f>
        <v>0</v>
      </c>
      <c r="AP34" s="12" t="s">
        <v>261</v>
      </c>
      <c r="AU34" s="38">
        <f>AV34+AW34</f>
        <v>0</v>
      </c>
      <c r="AV34" s="38">
        <f>F34*AN34</f>
        <v>0</v>
      </c>
      <c r="AW34" s="38">
        <f>F34*AO34</f>
        <v>0</v>
      </c>
      <c r="AX34" s="12" t="s">
        <v>127</v>
      </c>
      <c r="AY34" s="12" t="s">
        <v>209</v>
      </c>
      <c r="AZ34" s="45" t="s">
        <v>197</v>
      </c>
      <c r="BB34" s="38">
        <f>AV34+AW34</f>
        <v>0</v>
      </c>
      <c r="BC34" s="38">
        <f>G34/(100-BD34)*100</f>
        <v>0</v>
      </c>
      <c r="BD34" s="38">
        <v>0</v>
      </c>
      <c r="BE34" s="38">
        <f>34</f>
        <v>34</v>
      </c>
      <c r="BG34" s="38">
        <f>F34*AN34</f>
        <v>0</v>
      </c>
      <c r="BH34" s="38">
        <f>F34*AO34</f>
        <v>0</v>
      </c>
      <c r="BI34" s="38">
        <f>F34*G34</f>
        <v>0</v>
      </c>
      <c r="BJ34" s="38"/>
      <c r="BK34" s="38">
        <v>45</v>
      </c>
      <c r="BV34" s="38">
        <v>21</v>
      </c>
    </row>
    <row r="35" spans="1:46" ht="15" customHeight="1">
      <c r="A35" s="49" t="s">
        <v>178</v>
      </c>
      <c r="B35" s="7" t="s">
        <v>243</v>
      </c>
      <c r="C35" s="58" t="s">
        <v>131</v>
      </c>
      <c r="D35" s="59"/>
      <c r="E35" s="39" t="s">
        <v>237</v>
      </c>
      <c r="F35" s="39" t="s">
        <v>237</v>
      </c>
      <c r="G35" s="39" t="s">
        <v>237</v>
      </c>
      <c r="H35" s="48">
        <f>SUM(H36:H40)</f>
        <v>0</v>
      </c>
      <c r="I35" s="48">
        <f>SUM(I36:I40)</f>
        <v>0</v>
      </c>
      <c r="J35" s="48">
        <f>SUM(J36:J40)</f>
        <v>0</v>
      </c>
      <c r="K35" s="10"/>
      <c r="AH35" s="45" t="s">
        <v>178</v>
      </c>
      <c r="AR35" s="48">
        <f>SUM(AI36:AI40)</f>
        <v>0</v>
      </c>
      <c r="AS35" s="48">
        <f>SUM(AJ36:AJ40)</f>
        <v>0</v>
      </c>
      <c r="AT35" s="48">
        <f>SUM(AK36:AK40)</f>
        <v>0</v>
      </c>
    </row>
    <row r="36" spans="1:74" ht="27" customHeight="1">
      <c r="A36" s="15" t="s">
        <v>180</v>
      </c>
      <c r="B36" s="18" t="s">
        <v>32</v>
      </c>
      <c r="C36" s="53" t="s">
        <v>45</v>
      </c>
      <c r="D36" s="54"/>
      <c r="E36" s="18" t="s">
        <v>256</v>
      </c>
      <c r="F36" s="38">
        <v>55</v>
      </c>
      <c r="G36" s="38">
        <v>0</v>
      </c>
      <c r="H36" s="38">
        <f>F36*AN36</f>
        <v>0</v>
      </c>
      <c r="I36" s="38">
        <f>F36*AO36</f>
        <v>0</v>
      </c>
      <c r="J36" s="38">
        <f>F36*G36</f>
        <v>0</v>
      </c>
      <c r="K36" s="10"/>
      <c r="Y36" s="38">
        <f>IF(AP36="5",BI36,0)</f>
        <v>0</v>
      </c>
      <c r="AA36" s="38">
        <f>IF(AP36="1",BG36,0)</f>
        <v>0</v>
      </c>
      <c r="AB36" s="38">
        <f>IF(AP36="1",BH36,0)</f>
        <v>0</v>
      </c>
      <c r="AC36" s="38">
        <f>IF(AP36="7",BG36,0)</f>
        <v>0</v>
      </c>
      <c r="AD36" s="38">
        <f>IF(AP36="7",BH36,0)</f>
        <v>0</v>
      </c>
      <c r="AE36" s="38">
        <f>IF(AP36="2",BG36,0)</f>
        <v>0</v>
      </c>
      <c r="AF36" s="38">
        <f>IF(AP36="2",BH36,0)</f>
        <v>0</v>
      </c>
      <c r="AG36" s="38">
        <f>IF(AP36="0",BI36,0)</f>
        <v>0</v>
      </c>
      <c r="AH36" s="45" t="s">
        <v>178</v>
      </c>
      <c r="AI36" s="38">
        <f>IF(AM36=0,J36,0)</f>
        <v>0</v>
      </c>
      <c r="AJ36" s="38">
        <f>IF(AM36=15,J36,0)</f>
        <v>0</v>
      </c>
      <c r="AK36" s="38">
        <f>IF(AM36=21,J36,0)</f>
        <v>0</v>
      </c>
      <c r="AM36" s="38">
        <v>21</v>
      </c>
      <c r="AN36" s="38">
        <f>G36*0.782448979591837</f>
        <v>0</v>
      </c>
      <c r="AO36" s="38">
        <f>G36*(1-0.782448979591837)</f>
        <v>0</v>
      </c>
      <c r="AP36" s="12" t="s">
        <v>261</v>
      </c>
      <c r="AU36" s="38">
        <f>AV36+AW36</f>
        <v>0</v>
      </c>
      <c r="AV36" s="38">
        <f>F36*AN36</f>
        <v>0</v>
      </c>
      <c r="AW36" s="38">
        <f>F36*AO36</f>
        <v>0</v>
      </c>
      <c r="AX36" s="12" t="s">
        <v>111</v>
      </c>
      <c r="AY36" s="12" t="s">
        <v>158</v>
      </c>
      <c r="AZ36" s="45" t="s">
        <v>197</v>
      </c>
      <c r="BB36" s="38">
        <f>AV36+AW36</f>
        <v>0</v>
      </c>
      <c r="BC36" s="38">
        <f>G36/(100-BD36)*100</f>
        <v>0</v>
      </c>
      <c r="BD36" s="38">
        <v>0</v>
      </c>
      <c r="BE36" s="38">
        <f>36</f>
        <v>36</v>
      </c>
      <c r="BG36" s="38">
        <f>F36*AN36</f>
        <v>0</v>
      </c>
      <c r="BH36" s="38">
        <f>F36*AO36</f>
        <v>0</v>
      </c>
      <c r="BI36" s="38">
        <f>F36*G36</f>
        <v>0</v>
      </c>
      <c r="BJ36" s="38"/>
      <c r="BK36" s="38">
        <v>57</v>
      </c>
      <c r="BV36" s="38">
        <v>21</v>
      </c>
    </row>
    <row r="37" spans="1:74" ht="27" customHeight="1">
      <c r="A37" s="15" t="s">
        <v>205</v>
      </c>
      <c r="B37" s="18" t="s">
        <v>49</v>
      </c>
      <c r="C37" s="53" t="s">
        <v>48</v>
      </c>
      <c r="D37" s="54"/>
      <c r="E37" s="18" t="s">
        <v>256</v>
      </c>
      <c r="F37" s="38">
        <v>55</v>
      </c>
      <c r="G37" s="38">
        <v>0</v>
      </c>
      <c r="H37" s="38">
        <f>F37*AN37</f>
        <v>0</v>
      </c>
      <c r="I37" s="38">
        <f>F37*AO37</f>
        <v>0</v>
      </c>
      <c r="J37" s="38">
        <f>F37*G37</f>
        <v>0</v>
      </c>
      <c r="K37" s="10"/>
      <c r="Y37" s="38">
        <f>IF(AP37="5",BI37,0)</f>
        <v>0</v>
      </c>
      <c r="AA37" s="38">
        <f>IF(AP37="1",BG37,0)</f>
        <v>0</v>
      </c>
      <c r="AB37" s="38">
        <f>IF(AP37="1",BH37,0)</f>
        <v>0</v>
      </c>
      <c r="AC37" s="38">
        <f>IF(AP37="7",BG37,0)</f>
        <v>0</v>
      </c>
      <c r="AD37" s="38">
        <f>IF(AP37="7",BH37,0)</f>
        <v>0</v>
      </c>
      <c r="AE37" s="38">
        <f>IF(AP37="2",BG37,0)</f>
        <v>0</v>
      </c>
      <c r="AF37" s="38">
        <f>IF(AP37="2",BH37,0)</f>
        <v>0</v>
      </c>
      <c r="AG37" s="38">
        <f>IF(AP37="0",BI37,0)</f>
        <v>0</v>
      </c>
      <c r="AH37" s="45" t="s">
        <v>178</v>
      </c>
      <c r="AI37" s="38">
        <f>IF(AM37=0,J37,0)</f>
        <v>0</v>
      </c>
      <c r="AJ37" s="38">
        <f>IF(AM37=15,J37,0)</f>
        <v>0</v>
      </c>
      <c r="AK37" s="38">
        <f>IF(AM37=21,J37,0)</f>
        <v>0</v>
      </c>
      <c r="AM37" s="38">
        <v>21</v>
      </c>
      <c r="AN37" s="38">
        <f>G37*0.772038834951456</f>
        <v>0</v>
      </c>
      <c r="AO37" s="38">
        <f>G37*(1-0.772038834951456)</f>
        <v>0</v>
      </c>
      <c r="AP37" s="12" t="s">
        <v>261</v>
      </c>
      <c r="AU37" s="38">
        <f>AV37+AW37</f>
        <v>0</v>
      </c>
      <c r="AV37" s="38">
        <f>F37*AN37</f>
        <v>0</v>
      </c>
      <c r="AW37" s="38">
        <f>F37*AO37</f>
        <v>0</v>
      </c>
      <c r="AX37" s="12" t="s">
        <v>111</v>
      </c>
      <c r="AY37" s="12" t="s">
        <v>158</v>
      </c>
      <c r="AZ37" s="45" t="s">
        <v>197</v>
      </c>
      <c r="BB37" s="38">
        <f>AV37+AW37</f>
        <v>0</v>
      </c>
      <c r="BC37" s="38">
        <f>G37/(100-BD37)*100</f>
        <v>0</v>
      </c>
      <c r="BD37" s="38">
        <v>0</v>
      </c>
      <c r="BE37" s="38">
        <f>37</f>
        <v>37</v>
      </c>
      <c r="BG37" s="38">
        <f>F37*AN37</f>
        <v>0</v>
      </c>
      <c r="BH37" s="38">
        <f>F37*AO37</f>
        <v>0</v>
      </c>
      <c r="BI37" s="38">
        <f>F37*G37</f>
        <v>0</v>
      </c>
      <c r="BJ37" s="38"/>
      <c r="BK37" s="38">
        <v>57</v>
      </c>
      <c r="BV37" s="38">
        <v>21</v>
      </c>
    </row>
    <row r="38" spans="1:74" ht="27" customHeight="1">
      <c r="A38" s="15" t="s">
        <v>165</v>
      </c>
      <c r="B38" s="18" t="s">
        <v>139</v>
      </c>
      <c r="C38" s="53" t="s">
        <v>245</v>
      </c>
      <c r="D38" s="54"/>
      <c r="E38" s="18" t="s">
        <v>256</v>
      </c>
      <c r="F38" s="38">
        <v>55</v>
      </c>
      <c r="G38" s="38">
        <v>0</v>
      </c>
      <c r="H38" s="38">
        <f>F38*AN38</f>
        <v>0</v>
      </c>
      <c r="I38" s="38">
        <f>F38*AO38</f>
        <v>0</v>
      </c>
      <c r="J38" s="38">
        <f>F38*G38</f>
        <v>0</v>
      </c>
      <c r="K38" s="10"/>
      <c r="Y38" s="38">
        <f>IF(AP38="5",BI38,0)</f>
        <v>0</v>
      </c>
      <c r="AA38" s="38">
        <f>IF(AP38="1",BG38,0)</f>
        <v>0</v>
      </c>
      <c r="AB38" s="38">
        <f>IF(AP38="1",BH38,0)</f>
        <v>0</v>
      </c>
      <c r="AC38" s="38">
        <f>IF(AP38="7",BG38,0)</f>
        <v>0</v>
      </c>
      <c r="AD38" s="38">
        <f>IF(AP38="7",BH38,0)</f>
        <v>0</v>
      </c>
      <c r="AE38" s="38">
        <f>IF(AP38="2",BG38,0)</f>
        <v>0</v>
      </c>
      <c r="AF38" s="38">
        <f>IF(AP38="2",BH38,0)</f>
        <v>0</v>
      </c>
      <c r="AG38" s="38">
        <f>IF(AP38="0",BI38,0)</f>
        <v>0</v>
      </c>
      <c r="AH38" s="45" t="s">
        <v>178</v>
      </c>
      <c r="AI38" s="38">
        <f>IF(AM38=0,J38,0)</f>
        <v>0</v>
      </c>
      <c r="AJ38" s="38">
        <f>IF(AM38=15,J38,0)</f>
        <v>0</v>
      </c>
      <c r="AK38" s="38">
        <f>IF(AM38=21,J38,0)</f>
        <v>0</v>
      </c>
      <c r="AM38" s="38">
        <v>21</v>
      </c>
      <c r="AN38" s="38">
        <f>G38*0.835300546448087</f>
        <v>0</v>
      </c>
      <c r="AO38" s="38">
        <f>G38*(1-0.835300546448087)</f>
        <v>0</v>
      </c>
      <c r="AP38" s="12" t="s">
        <v>261</v>
      </c>
      <c r="AU38" s="38">
        <f>AV38+AW38</f>
        <v>0</v>
      </c>
      <c r="AV38" s="38">
        <f>F38*AN38</f>
        <v>0</v>
      </c>
      <c r="AW38" s="38">
        <f>F38*AO38</f>
        <v>0</v>
      </c>
      <c r="AX38" s="12" t="s">
        <v>111</v>
      </c>
      <c r="AY38" s="12" t="s">
        <v>158</v>
      </c>
      <c r="AZ38" s="45" t="s">
        <v>197</v>
      </c>
      <c r="BB38" s="38">
        <f>AV38+AW38</f>
        <v>0</v>
      </c>
      <c r="BC38" s="38">
        <f>G38/(100-BD38)*100</f>
        <v>0</v>
      </c>
      <c r="BD38" s="38">
        <v>0</v>
      </c>
      <c r="BE38" s="38">
        <f>38</f>
        <v>38</v>
      </c>
      <c r="BG38" s="38">
        <f>F38*AN38</f>
        <v>0</v>
      </c>
      <c r="BH38" s="38">
        <f>F38*AO38</f>
        <v>0</v>
      </c>
      <c r="BI38" s="38">
        <f>F38*G38</f>
        <v>0</v>
      </c>
      <c r="BJ38" s="38"/>
      <c r="BK38" s="38">
        <v>57</v>
      </c>
      <c r="BV38" s="38">
        <v>21</v>
      </c>
    </row>
    <row r="39" spans="1:74" ht="27" customHeight="1">
      <c r="A39" s="15" t="s">
        <v>10</v>
      </c>
      <c r="B39" s="18" t="s">
        <v>290</v>
      </c>
      <c r="C39" s="53" t="s">
        <v>76</v>
      </c>
      <c r="D39" s="54"/>
      <c r="E39" s="18" t="s">
        <v>256</v>
      </c>
      <c r="F39" s="38">
        <v>85</v>
      </c>
      <c r="G39" s="38">
        <v>0</v>
      </c>
      <c r="H39" s="38">
        <f>F39*AN39</f>
        <v>0</v>
      </c>
      <c r="I39" s="38">
        <f>F39*AO39</f>
        <v>0</v>
      </c>
      <c r="J39" s="38">
        <f>F39*G39</f>
        <v>0</v>
      </c>
      <c r="K39" s="10"/>
      <c r="Y39" s="38">
        <f>IF(AP39="5",BI39,0)</f>
        <v>0</v>
      </c>
      <c r="AA39" s="38">
        <f>IF(AP39="1",BG39,0)</f>
        <v>0</v>
      </c>
      <c r="AB39" s="38">
        <f>IF(AP39="1",BH39,0)</f>
        <v>0</v>
      </c>
      <c r="AC39" s="38">
        <f>IF(AP39="7",BG39,0)</f>
        <v>0</v>
      </c>
      <c r="AD39" s="38">
        <f>IF(AP39="7",BH39,0)</f>
        <v>0</v>
      </c>
      <c r="AE39" s="38">
        <f>IF(AP39="2",BG39,0)</f>
        <v>0</v>
      </c>
      <c r="AF39" s="38">
        <f>IF(AP39="2",BH39,0)</f>
        <v>0</v>
      </c>
      <c r="AG39" s="38">
        <f>IF(AP39="0",BI39,0)</f>
        <v>0</v>
      </c>
      <c r="AH39" s="45" t="s">
        <v>178</v>
      </c>
      <c r="AI39" s="38">
        <f>IF(AM39=0,J39,0)</f>
        <v>0</v>
      </c>
      <c r="AJ39" s="38">
        <f>IF(AM39=15,J39,0)</f>
        <v>0</v>
      </c>
      <c r="AK39" s="38">
        <f>IF(AM39=21,J39,0)</f>
        <v>0</v>
      </c>
      <c r="AM39" s="38">
        <v>21</v>
      </c>
      <c r="AN39" s="38">
        <f>G39*0.798350176164054</f>
        <v>0</v>
      </c>
      <c r="AO39" s="38">
        <f>G39*(1-0.798350176164054)</f>
        <v>0</v>
      </c>
      <c r="AP39" s="12" t="s">
        <v>261</v>
      </c>
      <c r="AU39" s="38">
        <f>AV39+AW39</f>
        <v>0</v>
      </c>
      <c r="AV39" s="38">
        <f>F39*AN39</f>
        <v>0</v>
      </c>
      <c r="AW39" s="38">
        <f>F39*AO39</f>
        <v>0</v>
      </c>
      <c r="AX39" s="12" t="s">
        <v>111</v>
      </c>
      <c r="AY39" s="12" t="s">
        <v>158</v>
      </c>
      <c r="AZ39" s="45" t="s">
        <v>197</v>
      </c>
      <c r="BB39" s="38">
        <f>AV39+AW39</f>
        <v>0</v>
      </c>
      <c r="BC39" s="38">
        <f>G39/(100-BD39)*100</f>
        <v>0</v>
      </c>
      <c r="BD39" s="38">
        <v>0</v>
      </c>
      <c r="BE39" s="38">
        <f>39</f>
        <v>39</v>
      </c>
      <c r="BG39" s="38">
        <f>F39*AN39</f>
        <v>0</v>
      </c>
      <c r="BH39" s="38">
        <f>F39*AO39</f>
        <v>0</v>
      </c>
      <c r="BI39" s="38">
        <f>F39*G39</f>
        <v>0</v>
      </c>
      <c r="BJ39" s="38"/>
      <c r="BK39" s="38">
        <v>57</v>
      </c>
      <c r="BV39" s="38">
        <v>21</v>
      </c>
    </row>
    <row r="40" spans="1:74" ht="27" customHeight="1">
      <c r="A40" s="15" t="s">
        <v>183</v>
      </c>
      <c r="B40" s="18" t="s">
        <v>125</v>
      </c>
      <c r="C40" s="53" t="s">
        <v>285</v>
      </c>
      <c r="D40" s="54"/>
      <c r="E40" s="18" t="s">
        <v>256</v>
      </c>
      <c r="F40" s="38">
        <v>85</v>
      </c>
      <c r="G40" s="38">
        <v>0</v>
      </c>
      <c r="H40" s="38">
        <f>F40*AN40</f>
        <v>0</v>
      </c>
      <c r="I40" s="38">
        <f>F40*AO40</f>
        <v>0</v>
      </c>
      <c r="J40" s="38">
        <f>F40*G40</f>
        <v>0</v>
      </c>
      <c r="K40" s="10"/>
      <c r="Y40" s="38">
        <f>IF(AP40="5",BI40,0)</f>
        <v>0</v>
      </c>
      <c r="AA40" s="38">
        <f>IF(AP40="1",BG40,0)</f>
        <v>0</v>
      </c>
      <c r="AB40" s="38">
        <f>IF(AP40="1",BH40,0)</f>
        <v>0</v>
      </c>
      <c r="AC40" s="38">
        <f>IF(AP40="7",BG40,0)</f>
        <v>0</v>
      </c>
      <c r="AD40" s="38">
        <f>IF(AP40="7",BH40,0)</f>
        <v>0</v>
      </c>
      <c r="AE40" s="38">
        <f>IF(AP40="2",BG40,0)</f>
        <v>0</v>
      </c>
      <c r="AF40" s="38">
        <f>IF(AP40="2",BH40,0)</f>
        <v>0</v>
      </c>
      <c r="AG40" s="38">
        <f>IF(AP40="0",BI40,0)</f>
        <v>0</v>
      </c>
      <c r="AH40" s="45" t="s">
        <v>178</v>
      </c>
      <c r="AI40" s="38">
        <f>IF(AM40=0,J40,0)</f>
        <v>0</v>
      </c>
      <c r="AJ40" s="38">
        <f>IF(AM40=15,J40,0)</f>
        <v>0</v>
      </c>
      <c r="AK40" s="38">
        <f>IF(AM40=21,J40,0)</f>
        <v>0</v>
      </c>
      <c r="AM40" s="38">
        <v>21</v>
      </c>
      <c r="AN40" s="38">
        <f>G40*0.764817684727624</f>
        <v>0</v>
      </c>
      <c r="AO40" s="38">
        <f>G40*(1-0.764817684727624)</f>
        <v>0</v>
      </c>
      <c r="AP40" s="12" t="s">
        <v>261</v>
      </c>
      <c r="AU40" s="38">
        <f>AV40+AW40</f>
        <v>0</v>
      </c>
      <c r="AV40" s="38">
        <f>F40*AN40</f>
        <v>0</v>
      </c>
      <c r="AW40" s="38">
        <f>F40*AO40</f>
        <v>0</v>
      </c>
      <c r="AX40" s="12" t="s">
        <v>111</v>
      </c>
      <c r="AY40" s="12" t="s">
        <v>158</v>
      </c>
      <c r="AZ40" s="45" t="s">
        <v>197</v>
      </c>
      <c r="BB40" s="38">
        <f>AV40+AW40</f>
        <v>0</v>
      </c>
      <c r="BC40" s="38">
        <f>G40/(100-BD40)*100</f>
        <v>0</v>
      </c>
      <c r="BD40" s="38">
        <v>0</v>
      </c>
      <c r="BE40" s="38">
        <f>40</f>
        <v>40</v>
      </c>
      <c r="BG40" s="38">
        <f>F40*AN40</f>
        <v>0</v>
      </c>
      <c r="BH40" s="38">
        <f>F40*AO40</f>
        <v>0</v>
      </c>
      <c r="BI40" s="38">
        <f>F40*G40</f>
        <v>0</v>
      </c>
      <c r="BJ40" s="38"/>
      <c r="BK40" s="38">
        <v>57</v>
      </c>
      <c r="BV40" s="38">
        <v>21</v>
      </c>
    </row>
    <row r="41" spans="1:46" ht="15" customHeight="1">
      <c r="A41" s="49" t="s">
        <v>178</v>
      </c>
      <c r="B41" s="7" t="s">
        <v>8</v>
      </c>
      <c r="C41" s="58" t="s">
        <v>19</v>
      </c>
      <c r="D41" s="59"/>
      <c r="E41" s="39" t="s">
        <v>237</v>
      </c>
      <c r="F41" s="39" t="s">
        <v>237</v>
      </c>
      <c r="G41" s="39" t="s">
        <v>237</v>
      </c>
      <c r="H41" s="48">
        <f>SUM(H42:H45)</f>
        <v>0</v>
      </c>
      <c r="I41" s="48">
        <f>SUM(I42:I45)</f>
        <v>0</v>
      </c>
      <c r="J41" s="48">
        <f>SUM(J42:J45)</f>
        <v>0</v>
      </c>
      <c r="K41" s="10"/>
      <c r="AH41" s="45" t="s">
        <v>178</v>
      </c>
      <c r="AR41" s="48">
        <f>SUM(AI42:AI45)</f>
        <v>0</v>
      </c>
      <c r="AS41" s="48">
        <f>SUM(AJ42:AJ45)</f>
        <v>0</v>
      </c>
      <c r="AT41" s="48">
        <f>SUM(AK42:AK45)</f>
        <v>0</v>
      </c>
    </row>
    <row r="42" spans="1:74" ht="13.5" customHeight="1">
      <c r="A42" s="15" t="s">
        <v>246</v>
      </c>
      <c r="B42" s="18" t="s">
        <v>120</v>
      </c>
      <c r="C42" s="53" t="s">
        <v>271</v>
      </c>
      <c r="D42" s="54"/>
      <c r="E42" s="18" t="s">
        <v>70</v>
      </c>
      <c r="F42" s="38">
        <v>14</v>
      </c>
      <c r="G42" s="38">
        <v>0</v>
      </c>
      <c r="H42" s="38">
        <f>F42*AN42</f>
        <v>0</v>
      </c>
      <c r="I42" s="38">
        <f>F42*AO42</f>
        <v>0</v>
      </c>
      <c r="J42" s="38">
        <f>F42*G42</f>
        <v>0</v>
      </c>
      <c r="K42" s="10"/>
      <c r="Y42" s="38">
        <f>IF(AP42="5",BI42,0)</f>
        <v>0</v>
      </c>
      <c r="AA42" s="38">
        <f>IF(AP42="1",BG42,0)</f>
        <v>0</v>
      </c>
      <c r="AB42" s="38">
        <f>IF(AP42="1",BH42,0)</f>
        <v>0</v>
      </c>
      <c r="AC42" s="38">
        <f>IF(AP42="7",BG42,0)</f>
        <v>0</v>
      </c>
      <c r="AD42" s="38">
        <f>IF(AP42="7",BH42,0)</f>
        <v>0</v>
      </c>
      <c r="AE42" s="38">
        <f>IF(AP42="2",BG42,0)</f>
        <v>0</v>
      </c>
      <c r="AF42" s="38">
        <f>IF(AP42="2",BH42,0)</f>
        <v>0</v>
      </c>
      <c r="AG42" s="38">
        <f>IF(AP42="0",BI42,0)</f>
        <v>0</v>
      </c>
      <c r="AH42" s="45" t="s">
        <v>178</v>
      </c>
      <c r="AI42" s="38">
        <f>IF(AM42=0,J42,0)</f>
        <v>0</v>
      </c>
      <c r="AJ42" s="38">
        <f>IF(AM42=15,J42,0)</f>
        <v>0</v>
      </c>
      <c r="AK42" s="38">
        <f>IF(AM42=21,J42,0)</f>
        <v>0</v>
      </c>
      <c r="AM42" s="38">
        <v>21</v>
      </c>
      <c r="AN42" s="38">
        <f>G42*0</f>
        <v>0</v>
      </c>
      <c r="AO42" s="38">
        <f>G42*(1-0)</f>
        <v>0</v>
      </c>
      <c r="AP42" s="12" t="s">
        <v>261</v>
      </c>
      <c r="AU42" s="38">
        <f>AV42+AW42</f>
        <v>0</v>
      </c>
      <c r="AV42" s="38">
        <f>F42*AN42</f>
        <v>0</v>
      </c>
      <c r="AW42" s="38">
        <f>F42*AO42</f>
        <v>0</v>
      </c>
      <c r="AX42" s="12" t="s">
        <v>15</v>
      </c>
      <c r="AY42" s="12" t="s">
        <v>216</v>
      </c>
      <c r="AZ42" s="45" t="s">
        <v>197</v>
      </c>
      <c r="BB42" s="38">
        <f>AV42+AW42</f>
        <v>0</v>
      </c>
      <c r="BC42" s="38">
        <f>G42/(100-BD42)*100</f>
        <v>0</v>
      </c>
      <c r="BD42" s="38">
        <v>0</v>
      </c>
      <c r="BE42" s="38">
        <f>42</f>
        <v>42</v>
      </c>
      <c r="BG42" s="38">
        <f>F42*AN42</f>
        <v>0</v>
      </c>
      <c r="BH42" s="38">
        <f>F42*AO42</f>
        <v>0</v>
      </c>
      <c r="BI42" s="38">
        <f>F42*G42</f>
        <v>0</v>
      </c>
      <c r="BJ42" s="38"/>
      <c r="BK42" s="38">
        <v>87</v>
      </c>
      <c r="BV42" s="38">
        <v>21</v>
      </c>
    </row>
    <row r="43" spans="1:74" ht="13.5" customHeight="1">
      <c r="A43" s="15" t="s">
        <v>121</v>
      </c>
      <c r="B43" s="18" t="s">
        <v>73</v>
      </c>
      <c r="C43" s="53" t="s">
        <v>77</v>
      </c>
      <c r="D43" s="54"/>
      <c r="E43" s="18" t="s">
        <v>70</v>
      </c>
      <c r="F43" s="38">
        <v>2</v>
      </c>
      <c r="G43" s="38">
        <v>0</v>
      </c>
      <c r="H43" s="38">
        <f>F43*AN43</f>
        <v>0</v>
      </c>
      <c r="I43" s="38">
        <f>F43*AO43</f>
        <v>0</v>
      </c>
      <c r="J43" s="38">
        <f>F43*G43</f>
        <v>0</v>
      </c>
      <c r="K43" s="10"/>
      <c r="Y43" s="38">
        <f>IF(AP43="5",BI43,0)</f>
        <v>0</v>
      </c>
      <c r="AA43" s="38">
        <f>IF(AP43="1",BG43,0)</f>
        <v>0</v>
      </c>
      <c r="AB43" s="38">
        <f>IF(AP43="1",BH43,0)</f>
        <v>0</v>
      </c>
      <c r="AC43" s="38">
        <f>IF(AP43="7",BG43,0)</f>
        <v>0</v>
      </c>
      <c r="AD43" s="38">
        <f>IF(AP43="7",BH43,0)</f>
        <v>0</v>
      </c>
      <c r="AE43" s="38">
        <f>IF(AP43="2",BG43,0)</f>
        <v>0</v>
      </c>
      <c r="AF43" s="38">
        <f>IF(AP43="2",BH43,0)</f>
        <v>0</v>
      </c>
      <c r="AG43" s="38">
        <f>IF(AP43="0",BI43,0)</f>
        <v>0</v>
      </c>
      <c r="AH43" s="45" t="s">
        <v>178</v>
      </c>
      <c r="AI43" s="38">
        <f>IF(AM43=0,J43,0)</f>
        <v>0</v>
      </c>
      <c r="AJ43" s="38">
        <f>IF(AM43=15,J43,0)</f>
        <v>0</v>
      </c>
      <c r="AK43" s="38">
        <f>IF(AM43=21,J43,0)</f>
        <v>0</v>
      </c>
      <c r="AM43" s="38">
        <v>21</v>
      </c>
      <c r="AN43" s="38">
        <f>G43*0</f>
        <v>0</v>
      </c>
      <c r="AO43" s="38">
        <f>G43*(1-0)</f>
        <v>0</v>
      </c>
      <c r="AP43" s="12" t="s">
        <v>261</v>
      </c>
      <c r="AU43" s="38">
        <f>AV43+AW43</f>
        <v>0</v>
      </c>
      <c r="AV43" s="38">
        <f>F43*AN43</f>
        <v>0</v>
      </c>
      <c r="AW43" s="38">
        <f>F43*AO43</f>
        <v>0</v>
      </c>
      <c r="AX43" s="12" t="s">
        <v>15</v>
      </c>
      <c r="AY43" s="12" t="s">
        <v>216</v>
      </c>
      <c r="AZ43" s="45" t="s">
        <v>197</v>
      </c>
      <c r="BB43" s="38">
        <f>AV43+AW43</f>
        <v>0</v>
      </c>
      <c r="BC43" s="38">
        <f>G43/(100-BD43)*100</f>
        <v>0</v>
      </c>
      <c r="BD43" s="38">
        <v>0</v>
      </c>
      <c r="BE43" s="38">
        <f>43</f>
        <v>43</v>
      </c>
      <c r="BG43" s="38">
        <f>F43*AN43</f>
        <v>0</v>
      </c>
      <c r="BH43" s="38">
        <f>F43*AO43</f>
        <v>0</v>
      </c>
      <c r="BI43" s="38">
        <f>F43*G43</f>
        <v>0</v>
      </c>
      <c r="BJ43" s="38"/>
      <c r="BK43" s="38">
        <v>87</v>
      </c>
      <c r="BV43" s="38">
        <v>21</v>
      </c>
    </row>
    <row r="44" spans="1:74" ht="27" customHeight="1">
      <c r="A44" s="15" t="s">
        <v>26</v>
      </c>
      <c r="B44" s="18" t="s">
        <v>235</v>
      </c>
      <c r="C44" s="53" t="s">
        <v>186</v>
      </c>
      <c r="D44" s="54"/>
      <c r="E44" s="18" t="s">
        <v>210</v>
      </c>
      <c r="F44" s="38">
        <v>79</v>
      </c>
      <c r="G44" s="38">
        <v>0</v>
      </c>
      <c r="H44" s="38">
        <f>F44*AN44</f>
        <v>0</v>
      </c>
      <c r="I44" s="38">
        <f>F44*AO44</f>
        <v>0</v>
      </c>
      <c r="J44" s="38">
        <f>F44*G44</f>
        <v>0</v>
      </c>
      <c r="K44" s="10"/>
      <c r="Y44" s="38">
        <f>IF(AP44="5",BI44,0)</f>
        <v>0</v>
      </c>
      <c r="AA44" s="38">
        <f>IF(AP44="1",BG44,0)</f>
        <v>0</v>
      </c>
      <c r="AB44" s="38">
        <f>IF(AP44="1",BH44,0)</f>
        <v>0</v>
      </c>
      <c r="AC44" s="38">
        <f>IF(AP44="7",BG44,0)</f>
        <v>0</v>
      </c>
      <c r="AD44" s="38">
        <f>IF(AP44="7",BH44,0)</f>
        <v>0</v>
      </c>
      <c r="AE44" s="38">
        <f>IF(AP44="2",BG44,0)</f>
        <v>0</v>
      </c>
      <c r="AF44" s="38">
        <f>IF(AP44="2",BH44,0)</f>
        <v>0</v>
      </c>
      <c r="AG44" s="38">
        <f>IF(AP44="0",BI44,0)</f>
        <v>0</v>
      </c>
      <c r="AH44" s="45" t="s">
        <v>178</v>
      </c>
      <c r="AI44" s="38">
        <f>IF(AM44=0,J44,0)</f>
        <v>0</v>
      </c>
      <c r="AJ44" s="38">
        <f>IF(AM44=15,J44,0)</f>
        <v>0</v>
      </c>
      <c r="AK44" s="38">
        <f>IF(AM44=21,J44,0)</f>
        <v>0</v>
      </c>
      <c r="AM44" s="38">
        <v>21</v>
      </c>
      <c r="AN44" s="38">
        <f>G44*0</f>
        <v>0</v>
      </c>
      <c r="AO44" s="38">
        <f>G44*(1-0)</f>
        <v>0</v>
      </c>
      <c r="AP44" s="12" t="s">
        <v>261</v>
      </c>
      <c r="AU44" s="38">
        <f>AV44+AW44</f>
        <v>0</v>
      </c>
      <c r="AV44" s="38">
        <f>F44*AN44</f>
        <v>0</v>
      </c>
      <c r="AW44" s="38">
        <f>F44*AO44</f>
        <v>0</v>
      </c>
      <c r="AX44" s="12" t="s">
        <v>15</v>
      </c>
      <c r="AY44" s="12" t="s">
        <v>216</v>
      </c>
      <c r="AZ44" s="45" t="s">
        <v>197</v>
      </c>
      <c r="BB44" s="38">
        <f>AV44+AW44</f>
        <v>0</v>
      </c>
      <c r="BC44" s="38">
        <f>G44/(100-BD44)*100</f>
        <v>0</v>
      </c>
      <c r="BD44" s="38">
        <v>0</v>
      </c>
      <c r="BE44" s="38">
        <f>44</f>
        <v>44</v>
      </c>
      <c r="BG44" s="38">
        <f>F44*AN44</f>
        <v>0</v>
      </c>
      <c r="BH44" s="38">
        <f>F44*AO44</f>
        <v>0</v>
      </c>
      <c r="BI44" s="38">
        <f>F44*G44</f>
        <v>0</v>
      </c>
      <c r="BJ44" s="38"/>
      <c r="BK44" s="38">
        <v>87</v>
      </c>
      <c r="BV44" s="38">
        <v>21</v>
      </c>
    </row>
    <row r="45" spans="1:74" ht="27" customHeight="1">
      <c r="A45" s="15" t="s">
        <v>69</v>
      </c>
      <c r="B45" s="18" t="s">
        <v>66</v>
      </c>
      <c r="C45" s="53" t="s">
        <v>128</v>
      </c>
      <c r="D45" s="54"/>
      <c r="E45" s="18" t="s">
        <v>210</v>
      </c>
      <c r="F45" s="38">
        <v>3</v>
      </c>
      <c r="G45" s="38">
        <v>0</v>
      </c>
      <c r="H45" s="38">
        <f>F45*AN45</f>
        <v>0</v>
      </c>
      <c r="I45" s="38">
        <f>F45*AO45</f>
        <v>0</v>
      </c>
      <c r="J45" s="38">
        <f>F45*G45</f>
        <v>0</v>
      </c>
      <c r="K45" s="10"/>
      <c r="Y45" s="38">
        <f>IF(AP45="5",BI45,0)</f>
        <v>0</v>
      </c>
      <c r="AA45" s="38">
        <f>IF(AP45="1",BG45,0)</f>
        <v>0</v>
      </c>
      <c r="AB45" s="38">
        <f>IF(AP45="1",BH45,0)</f>
        <v>0</v>
      </c>
      <c r="AC45" s="38">
        <f>IF(AP45="7",BG45,0)</f>
        <v>0</v>
      </c>
      <c r="AD45" s="38">
        <f>IF(AP45="7",BH45,0)</f>
        <v>0</v>
      </c>
      <c r="AE45" s="38">
        <f>IF(AP45="2",BG45,0)</f>
        <v>0</v>
      </c>
      <c r="AF45" s="38">
        <f>IF(AP45="2",BH45,0)</f>
        <v>0</v>
      </c>
      <c r="AG45" s="38">
        <f>IF(AP45="0",BI45,0)</f>
        <v>0</v>
      </c>
      <c r="AH45" s="45" t="s">
        <v>178</v>
      </c>
      <c r="AI45" s="38">
        <f>IF(AM45=0,J45,0)</f>
        <v>0</v>
      </c>
      <c r="AJ45" s="38">
        <f>IF(AM45=15,J45,0)</f>
        <v>0</v>
      </c>
      <c r="AK45" s="38">
        <f>IF(AM45=21,J45,0)</f>
        <v>0</v>
      </c>
      <c r="AM45" s="38">
        <v>21</v>
      </c>
      <c r="AN45" s="38">
        <f>G45*0</f>
        <v>0</v>
      </c>
      <c r="AO45" s="38">
        <f>G45*(1-0)</f>
        <v>0</v>
      </c>
      <c r="AP45" s="12" t="s">
        <v>261</v>
      </c>
      <c r="AU45" s="38">
        <f>AV45+AW45</f>
        <v>0</v>
      </c>
      <c r="AV45" s="38">
        <f>F45*AN45</f>
        <v>0</v>
      </c>
      <c r="AW45" s="38">
        <f>F45*AO45</f>
        <v>0</v>
      </c>
      <c r="AX45" s="12" t="s">
        <v>15</v>
      </c>
      <c r="AY45" s="12" t="s">
        <v>216</v>
      </c>
      <c r="AZ45" s="45" t="s">
        <v>197</v>
      </c>
      <c r="BB45" s="38">
        <f>AV45+AW45</f>
        <v>0</v>
      </c>
      <c r="BC45" s="38">
        <f>G45/(100-BD45)*100</f>
        <v>0</v>
      </c>
      <c r="BD45" s="38">
        <v>0</v>
      </c>
      <c r="BE45" s="38">
        <f>45</f>
        <v>45</v>
      </c>
      <c r="BG45" s="38">
        <f>F45*AN45</f>
        <v>0</v>
      </c>
      <c r="BH45" s="38">
        <f>F45*AO45</f>
        <v>0</v>
      </c>
      <c r="BI45" s="38">
        <f>F45*G45</f>
        <v>0</v>
      </c>
      <c r="BJ45" s="38"/>
      <c r="BK45" s="38">
        <v>87</v>
      </c>
      <c r="BV45" s="38">
        <v>21</v>
      </c>
    </row>
    <row r="46" spans="1:46" ht="15" customHeight="1">
      <c r="A46" s="49" t="s">
        <v>178</v>
      </c>
      <c r="B46" s="7" t="s">
        <v>275</v>
      </c>
      <c r="C46" s="58" t="s">
        <v>144</v>
      </c>
      <c r="D46" s="59"/>
      <c r="E46" s="39" t="s">
        <v>237</v>
      </c>
      <c r="F46" s="39" t="s">
        <v>237</v>
      </c>
      <c r="G46" s="39" t="s">
        <v>237</v>
      </c>
      <c r="H46" s="48">
        <f>SUM(H47:H51)</f>
        <v>0</v>
      </c>
      <c r="I46" s="48">
        <f>SUM(I47:I51)</f>
        <v>0</v>
      </c>
      <c r="J46" s="48">
        <f>SUM(J47:J51)</f>
        <v>0</v>
      </c>
      <c r="K46" s="10"/>
      <c r="AH46" s="45" t="s">
        <v>178</v>
      </c>
      <c r="AR46" s="48">
        <f>SUM(AI47:AI51)</f>
        <v>0</v>
      </c>
      <c r="AS46" s="48">
        <f>SUM(AJ47:AJ51)</f>
        <v>0</v>
      </c>
      <c r="AT46" s="48">
        <f>SUM(AK47:AK51)</f>
        <v>0</v>
      </c>
    </row>
    <row r="47" spans="1:74" ht="27" customHeight="1">
      <c r="A47" s="15" t="s">
        <v>39</v>
      </c>
      <c r="B47" s="18" t="s">
        <v>123</v>
      </c>
      <c r="C47" s="53" t="s">
        <v>195</v>
      </c>
      <c r="D47" s="54"/>
      <c r="E47" s="18" t="s">
        <v>241</v>
      </c>
      <c r="F47" s="38">
        <v>25</v>
      </c>
      <c r="G47" s="38">
        <v>0</v>
      </c>
      <c r="H47" s="38">
        <f>F47*AN47</f>
        <v>0</v>
      </c>
      <c r="I47" s="38">
        <f>F47*AO47</f>
        <v>0</v>
      </c>
      <c r="J47" s="38">
        <f>F47*G47</f>
        <v>0</v>
      </c>
      <c r="K47" s="10"/>
      <c r="Y47" s="38">
        <f>IF(AP47="5",BI47,0)</f>
        <v>0</v>
      </c>
      <c r="AA47" s="38">
        <f>IF(AP47="1",BG47,0)</f>
        <v>0</v>
      </c>
      <c r="AB47" s="38">
        <f>IF(AP47="1",BH47,0)</f>
        <v>0</v>
      </c>
      <c r="AC47" s="38">
        <f>IF(AP47="7",BG47,0)</f>
        <v>0</v>
      </c>
      <c r="AD47" s="38">
        <f>IF(AP47="7",BH47,0)</f>
        <v>0</v>
      </c>
      <c r="AE47" s="38">
        <f>IF(AP47="2",BG47,0)</f>
        <v>0</v>
      </c>
      <c r="AF47" s="38">
        <f>IF(AP47="2",BH47,0)</f>
        <v>0</v>
      </c>
      <c r="AG47" s="38">
        <f>IF(AP47="0",BI47,0)</f>
        <v>0</v>
      </c>
      <c r="AH47" s="45" t="s">
        <v>178</v>
      </c>
      <c r="AI47" s="38">
        <f>IF(AM47=0,J47,0)</f>
        <v>0</v>
      </c>
      <c r="AJ47" s="38">
        <f>IF(AM47=15,J47,0)</f>
        <v>0</v>
      </c>
      <c r="AK47" s="38">
        <f>IF(AM47=21,J47,0)</f>
        <v>0</v>
      </c>
      <c r="AM47" s="38">
        <v>21</v>
      </c>
      <c r="AN47" s="38">
        <f>G47*1</f>
        <v>0</v>
      </c>
      <c r="AO47" s="38">
        <f>G47*(1-1)</f>
        <v>0</v>
      </c>
      <c r="AP47" s="12" t="s">
        <v>261</v>
      </c>
      <c r="AU47" s="38">
        <f>AV47+AW47</f>
        <v>0</v>
      </c>
      <c r="AV47" s="38">
        <f>F47*AN47</f>
        <v>0</v>
      </c>
      <c r="AW47" s="38">
        <f>F47*AO47</f>
        <v>0</v>
      </c>
      <c r="AX47" s="12" t="s">
        <v>21</v>
      </c>
      <c r="AY47" s="12" t="s">
        <v>216</v>
      </c>
      <c r="AZ47" s="45" t="s">
        <v>197</v>
      </c>
      <c r="BB47" s="38">
        <f>AV47+AW47</f>
        <v>0</v>
      </c>
      <c r="BC47" s="38">
        <f>G47/(100-BD47)*100</f>
        <v>0</v>
      </c>
      <c r="BD47" s="38">
        <v>0</v>
      </c>
      <c r="BE47" s="38">
        <f>47</f>
        <v>47</v>
      </c>
      <c r="BG47" s="38">
        <f>F47*AN47</f>
        <v>0</v>
      </c>
      <c r="BH47" s="38">
        <f>F47*AO47</f>
        <v>0</v>
      </c>
      <c r="BI47" s="38">
        <f>F47*G47</f>
        <v>0</v>
      </c>
      <c r="BJ47" s="38"/>
      <c r="BK47" s="38">
        <v>89</v>
      </c>
      <c r="BV47" s="38">
        <v>21</v>
      </c>
    </row>
    <row r="48" spans="1:74" ht="13.5" customHeight="1">
      <c r="A48" s="15" t="s">
        <v>254</v>
      </c>
      <c r="B48" s="18" t="s">
        <v>218</v>
      </c>
      <c r="C48" s="53" t="s">
        <v>53</v>
      </c>
      <c r="D48" s="54"/>
      <c r="E48" s="18" t="s">
        <v>70</v>
      </c>
      <c r="F48" s="38">
        <v>1</v>
      </c>
      <c r="G48" s="38">
        <v>0</v>
      </c>
      <c r="H48" s="38">
        <f>F48*AN48</f>
        <v>0</v>
      </c>
      <c r="I48" s="38">
        <f>F48*AO48</f>
        <v>0</v>
      </c>
      <c r="J48" s="38">
        <f>F48*G48</f>
        <v>0</v>
      </c>
      <c r="K48" s="10"/>
      <c r="Y48" s="38">
        <f>IF(AP48="5",BI48,0)</f>
        <v>0</v>
      </c>
      <c r="AA48" s="38">
        <f>IF(AP48="1",BG48,0)</f>
        <v>0</v>
      </c>
      <c r="AB48" s="38">
        <f>IF(AP48="1",BH48,0)</f>
        <v>0</v>
      </c>
      <c r="AC48" s="38">
        <f>IF(AP48="7",BG48,0)</f>
        <v>0</v>
      </c>
      <c r="AD48" s="38">
        <f>IF(AP48="7",BH48,0)</f>
        <v>0</v>
      </c>
      <c r="AE48" s="38">
        <f>IF(AP48="2",BG48,0)</f>
        <v>0</v>
      </c>
      <c r="AF48" s="38">
        <f>IF(AP48="2",BH48,0)</f>
        <v>0</v>
      </c>
      <c r="AG48" s="38">
        <f>IF(AP48="0",BI48,0)</f>
        <v>0</v>
      </c>
      <c r="AH48" s="45" t="s">
        <v>178</v>
      </c>
      <c r="AI48" s="38">
        <f>IF(AM48=0,J48,0)</f>
        <v>0</v>
      </c>
      <c r="AJ48" s="38">
        <f>IF(AM48=15,J48,0)</f>
        <v>0</v>
      </c>
      <c r="AK48" s="38">
        <f>IF(AM48=21,J48,0)</f>
        <v>0</v>
      </c>
      <c r="AM48" s="38">
        <v>21</v>
      </c>
      <c r="AN48" s="38">
        <f>G48*0</f>
        <v>0</v>
      </c>
      <c r="AO48" s="38">
        <f>G48*(1-0)</f>
        <v>0</v>
      </c>
      <c r="AP48" s="12" t="s">
        <v>261</v>
      </c>
      <c r="AU48" s="38">
        <f>AV48+AW48</f>
        <v>0</v>
      </c>
      <c r="AV48" s="38">
        <f>F48*AN48</f>
        <v>0</v>
      </c>
      <c r="AW48" s="38">
        <f>F48*AO48</f>
        <v>0</v>
      </c>
      <c r="AX48" s="12" t="s">
        <v>21</v>
      </c>
      <c r="AY48" s="12" t="s">
        <v>216</v>
      </c>
      <c r="AZ48" s="45" t="s">
        <v>197</v>
      </c>
      <c r="BB48" s="38">
        <f>AV48+AW48</f>
        <v>0</v>
      </c>
      <c r="BC48" s="38">
        <f>G48/(100-BD48)*100</f>
        <v>0</v>
      </c>
      <c r="BD48" s="38">
        <v>0</v>
      </c>
      <c r="BE48" s="38">
        <f>48</f>
        <v>48</v>
      </c>
      <c r="BG48" s="38">
        <f>F48*AN48</f>
        <v>0</v>
      </c>
      <c r="BH48" s="38">
        <f>F48*AO48</f>
        <v>0</v>
      </c>
      <c r="BI48" s="38">
        <f>F48*G48</f>
        <v>0</v>
      </c>
      <c r="BJ48" s="38"/>
      <c r="BK48" s="38">
        <v>89</v>
      </c>
      <c r="BV48" s="38">
        <v>21</v>
      </c>
    </row>
    <row r="49" spans="1:74" ht="13.5" customHeight="1">
      <c r="A49" s="15" t="s">
        <v>280</v>
      </c>
      <c r="B49" s="18" t="s">
        <v>146</v>
      </c>
      <c r="C49" s="53" t="s">
        <v>265</v>
      </c>
      <c r="D49" s="54"/>
      <c r="E49" s="18" t="s">
        <v>70</v>
      </c>
      <c r="F49" s="38">
        <v>12</v>
      </c>
      <c r="G49" s="38">
        <v>0</v>
      </c>
      <c r="H49" s="38">
        <f>F49*AN49</f>
        <v>0</v>
      </c>
      <c r="I49" s="38">
        <f>F49*AO49</f>
        <v>0</v>
      </c>
      <c r="J49" s="38">
        <f>F49*G49</f>
        <v>0</v>
      </c>
      <c r="K49" s="10"/>
      <c r="Y49" s="38">
        <f>IF(AP49="5",BI49,0)</f>
        <v>0</v>
      </c>
      <c r="AA49" s="38">
        <f>IF(AP49="1",BG49,0)</f>
        <v>0</v>
      </c>
      <c r="AB49" s="38">
        <f>IF(AP49="1",BH49,0)</f>
        <v>0</v>
      </c>
      <c r="AC49" s="38">
        <f>IF(AP49="7",BG49,0)</f>
        <v>0</v>
      </c>
      <c r="AD49" s="38">
        <f>IF(AP49="7",BH49,0)</f>
        <v>0</v>
      </c>
      <c r="AE49" s="38">
        <f>IF(AP49="2",BG49,0)</f>
        <v>0</v>
      </c>
      <c r="AF49" s="38">
        <f>IF(AP49="2",BH49,0)</f>
        <v>0</v>
      </c>
      <c r="AG49" s="38">
        <f>IF(AP49="0",BI49,0)</f>
        <v>0</v>
      </c>
      <c r="AH49" s="45" t="s">
        <v>178</v>
      </c>
      <c r="AI49" s="38">
        <f>IF(AM49=0,J49,0)</f>
        <v>0</v>
      </c>
      <c r="AJ49" s="38">
        <f>IF(AM49=15,J49,0)</f>
        <v>0</v>
      </c>
      <c r="AK49" s="38">
        <f>IF(AM49=21,J49,0)</f>
        <v>0</v>
      </c>
      <c r="AM49" s="38">
        <v>21</v>
      </c>
      <c r="AN49" s="38">
        <f>G49*0</f>
        <v>0</v>
      </c>
      <c r="AO49" s="38">
        <f>G49*(1-0)</f>
        <v>0</v>
      </c>
      <c r="AP49" s="12" t="s">
        <v>261</v>
      </c>
      <c r="AU49" s="38">
        <f>AV49+AW49</f>
        <v>0</v>
      </c>
      <c r="AV49" s="38">
        <f>F49*AN49</f>
        <v>0</v>
      </c>
      <c r="AW49" s="38">
        <f>F49*AO49</f>
        <v>0</v>
      </c>
      <c r="AX49" s="12" t="s">
        <v>21</v>
      </c>
      <c r="AY49" s="12" t="s">
        <v>216</v>
      </c>
      <c r="AZ49" s="45" t="s">
        <v>197</v>
      </c>
      <c r="BB49" s="38">
        <f>AV49+AW49</f>
        <v>0</v>
      </c>
      <c r="BC49" s="38">
        <f>G49/(100-BD49)*100</f>
        <v>0</v>
      </c>
      <c r="BD49" s="38">
        <v>0</v>
      </c>
      <c r="BE49" s="38">
        <f>49</f>
        <v>49</v>
      </c>
      <c r="BG49" s="38">
        <f>F49*AN49</f>
        <v>0</v>
      </c>
      <c r="BH49" s="38">
        <f>F49*AO49</f>
        <v>0</v>
      </c>
      <c r="BI49" s="38">
        <f>F49*G49</f>
        <v>0</v>
      </c>
      <c r="BJ49" s="38"/>
      <c r="BK49" s="38">
        <v>89</v>
      </c>
      <c r="BV49" s="38">
        <v>21</v>
      </c>
    </row>
    <row r="50" spans="1:74" ht="27" customHeight="1">
      <c r="A50" s="15" t="s">
        <v>18</v>
      </c>
      <c r="B50" s="18" t="s">
        <v>93</v>
      </c>
      <c r="C50" s="53" t="s">
        <v>67</v>
      </c>
      <c r="D50" s="54"/>
      <c r="E50" s="18" t="s">
        <v>70</v>
      </c>
      <c r="F50" s="38">
        <v>13</v>
      </c>
      <c r="G50" s="38">
        <v>0</v>
      </c>
      <c r="H50" s="38">
        <f>F50*AN50</f>
        <v>0</v>
      </c>
      <c r="I50" s="38">
        <f>F50*AO50</f>
        <v>0</v>
      </c>
      <c r="J50" s="38">
        <f>F50*G50</f>
        <v>0</v>
      </c>
      <c r="K50" s="10"/>
      <c r="Y50" s="38">
        <f>IF(AP50="5",BI50,0)</f>
        <v>0</v>
      </c>
      <c r="AA50" s="38">
        <f>IF(AP50="1",BG50,0)</f>
        <v>0</v>
      </c>
      <c r="AB50" s="38">
        <f>IF(AP50="1",BH50,0)</f>
        <v>0</v>
      </c>
      <c r="AC50" s="38">
        <f>IF(AP50="7",BG50,0)</f>
        <v>0</v>
      </c>
      <c r="AD50" s="38">
        <f>IF(AP50="7",BH50,0)</f>
        <v>0</v>
      </c>
      <c r="AE50" s="38">
        <f>IF(AP50="2",BG50,0)</f>
        <v>0</v>
      </c>
      <c r="AF50" s="38">
        <f>IF(AP50="2",BH50,0)</f>
        <v>0</v>
      </c>
      <c r="AG50" s="38">
        <f>IF(AP50="0",BI50,0)</f>
        <v>0</v>
      </c>
      <c r="AH50" s="45" t="s">
        <v>178</v>
      </c>
      <c r="AI50" s="38">
        <f>IF(AM50=0,J50,0)</f>
        <v>0</v>
      </c>
      <c r="AJ50" s="38">
        <f>IF(AM50=15,J50,0)</f>
        <v>0</v>
      </c>
      <c r="AK50" s="38">
        <f>IF(AM50=21,J50,0)</f>
        <v>0</v>
      </c>
      <c r="AM50" s="38">
        <v>21</v>
      </c>
      <c r="AN50" s="38">
        <f>G50*0.116454668470907</f>
        <v>0</v>
      </c>
      <c r="AO50" s="38">
        <f>G50*(1-0.116454668470907)</f>
        <v>0</v>
      </c>
      <c r="AP50" s="12" t="s">
        <v>261</v>
      </c>
      <c r="AU50" s="38">
        <f>AV50+AW50</f>
        <v>0</v>
      </c>
      <c r="AV50" s="38">
        <f>F50*AN50</f>
        <v>0</v>
      </c>
      <c r="AW50" s="38">
        <f>F50*AO50</f>
        <v>0</v>
      </c>
      <c r="AX50" s="12" t="s">
        <v>21</v>
      </c>
      <c r="AY50" s="12" t="s">
        <v>216</v>
      </c>
      <c r="AZ50" s="45" t="s">
        <v>197</v>
      </c>
      <c r="BB50" s="38">
        <f>AV50+AW50</f>
        <v>0</v>
      </c>
      <c r="BC50" s="38">
        <f>G50/(100-BD50)*100</f>
        <v>0</v>
      </c>
      <c r="BD50" s="38">
        <v>0</v>
      </c>
      <c r="BE50" s="38">
        <f>50</f>
        <v>50</v>
      </c>
      <c r="BG50" s="38">
        <f>F50*AN50</f>
        <v>0</v>
      </c>
      <c r="BH50" s="38">
        <f>F50*AO50</f>
        <v>0</v>
      </c>
      <c r="BI50" s="38">
        <f>F50*G50</f>
        <v>0</v>
      </c>
      <c r="BJ50" s="38"/>
      <c r="BK50" s="38">
        <v>89</v>
      </c>
      <c r="BV50" s="38">
        <v>21</v>
      </c>
    </row>
    <row r="51" spans="1:74" ht="13.5" customHeight="1">
      <c r="A51" s="15" t="s">
        <v>169</v>
      </c>
      <c r="B51" s="18" t="s">
        <v>0</v>
      </c>
      <c r="C51" s="53" t="s">
        <v>286</v>
      </c>
      <c r="D51" s="54"/>
      <c r="E51" s="18" t="s">
        <v>210</v>
      </c>
      <c r="F51" s="38">
        <v>82</v>
      </c>
      <c r="G51" s="38">
        <v>0</v>
      </c>
      <c r="H51" s="38">
        <f>F51*AN51</f>
        <v>0</v>
      </c>
      <c r="I51" s="38">
        <f>F51*AO51</f>
        <v>0</v>
      </c>
      <c r="J51" s="38">
        <f>F51*G51</f>
        <v>0</v>
      </c>
      <c r="K51" s="10"/>
      <c r="Y51" s="38">
        <f>IF(AP51="5",BI51,0)</f>
        <v>0</v>
      </c>
      <c r="AA51" s="38">
        <f>IF(AP51="1",BG51,0)</f>
        <v>0</v>
      </c>
      <c r="AB51" s="38">
        <f>IF(AP51="1",BH51,0)</f>
        <v>0</v>
      </c>
      <c r="AC51" s="38">
        <f>IF(AP51="7",BG51,0)</f>
        <v>0</v>
      </c>
      <c r="AD51" s="38">
        <f>IF(AP51="7",BH51,0)</f>
        <v>0</v>
      </c>
      <c r="AE51" s="38">
        <f>IF(AP51="2",BG51,0)</f>
        <v>0</v>
      </c>
      <c r="AF51" s="38">
        <f>IF(AP51="2",BH51,0)</f>
        <v>0</v>
      </c>
      <c r="AG51" s="38">
        <f>IF(AP51="0",BI51,0)</f>
        <v>0</v>
      </c>
      <c r="AH51" s="45" t="s">
        <v>178</v>
      </c>
      <c r="AI51" s="38">
        <f>IF(AM51=0,J51,0)</f>
        <v>0</v>
      </c>
      <c r="AJ51" s="38">
        <f>IF(AM51=15,J51,0)</f>
        <v>0</v>
      </c>
      <c r="AK51" s="38">
        <f>IF(AM51=21,J51,0)</f>
        <v>0</v>
      </c>
      <c r="AM51" s="38">
        <v>21</v>
      </c>
      <c r="AN51" s="38">
        <f>G51*0.568162332094884</f>
        <v>0</v>
      </c>
      <c r="AO51" s="38">
        <f>G51*(1-0.568162332094884)</f>
        <v>0</v>
      </c>
      <c r="AP51" s="12" t="s">
        <v>261</v>
      </c>
      <c r="AU51" s="38">
        <f>AV51+AW51</f>
        <v>0</v>
      </c>
      <c r="AV51" s="38">
        <f>F51*AN51</f>
        <v>0</v>
      </c>
      <c r="AW51" s="38">
        <f>F51*AO51</f>
        <v>0</v>
      </c>
      <c r="AX51" s="12" t="s">
        <v>21</v>
      </c>
      <c r="AY51" s="12" t="s">
        <v>216</v>
      </c>
      <c r="AZ51" s="45" t="s">
        <v>197</v>
      </c>
      <c r="BB51" s="38">
        <f>AV51+AW51</f>
        <v>0</v>
      </c>
      <c r="BC51" s="38">
        <f>G51/(100-BD51)*100</f>
        <v>0</v>
      </c>
      <c r="BD51" s="38">
        <v>0</v>
      </c>
      <c r="BE51" s="38">
        <f>51</f>
        <v>51</v>
      </c>
      <c r="BG51" s="38">
        <f>F51*AN51</f>
        <v>0</v>
      </c>
      <c r="BH51" s="38">
        <f>F51*AO51</f>
        <v>0</v>
      </c>
      <c r="BI51" s="38">
        <f>F51*G51</f>
        <v>0</v>
      </c>
      <c r="BJ51" s="38"/>
      <c r="BK51" s="38">
        <v>89</v>
      </c>
      <c r="BV51" s="38">
        <v>21</v>
      </c>
    </row>
    <row r="52" spans="1:46" ht="15" customHeight="1">
      <c r="A52" s="49" t="s">
        <v>178</v>
      </c>
      <c r="B52" s="7" t="s">
        <v>7</v>
      </c>
      <c r="C52" s="58" t="s">
        <v>100</v>
      </c>
      <c r="D52" s="59"/>
      <c r="E52" s="39" t="s">
        <v>237</v>
      </c>
      <c r="F52" s="39" t="s">
        <v>237</v>
      </c>
      <c r="G52" s="39" t="s">
        <v>237</v>
      </c>
      <c r="H52" s="48">
        <f>SUM(H53:H53)</f>
        <v>0</v>
      </c>
      <c r="I52" s="48">
        <f>SUM(I53:I53)</f>
        <v>0</v>
      </c>
      <c r="J52" s="48">
        <f>SUM(J53:J53)</f>
        <v>0</v>
      </c>
      <c r="K52" s="10"/>
      <c r="AH52" s="45" t="s">
        <v>178</v>
      </c>
      <c r="AR52" s="48">
        <f>SUM(AI53:AI53)</f>
        <v>0</v>
      </c>
      <c r="AS52" s="48">
        <f>SUM(AJ53:AJ53)</f>
        <v>0</v>
      </c>
      <c r="AT52" s="48">
        <f>SUM(AK53:AK53)</f>
        <v>0</v>
      </c>
    </row>
    <row r="53" spans="1:74" ht="27" customHeight="1">
      <c r="A53" s="15" t="s">
        <v>156</v>
      </c>
      <c r="B53" s="18" t="s">
        <v>196</v>
      </c>
      <c r="C53" s="53" t="s">
        <v>161</v>
      </c>
      <c r="D53" s="54"/>
      <c r="E53" s="18" t="s">
        <v>210</v>
      </c>
      <c r="F53" s="38">
        <v>122</v>
      </c>
      <c r="G53" s="38">
        <v>0</v>
      </c>
      <c r="H53" s="38">
        <f>F53*AN53</f>
        <v>0</v>
      </c>
      <c r="I53" s="38">
        <f>F53*AO53</f>
        <v>0</v>
      </c>
      <c r="J53" s="38">
        <f>F53*G53</f>
        <v>0</v>
      </c>
      <c r="K53" s="10"/>
      <c r="Y53" s="38">
        <f>IF(AP53="5",BI53,0)</f>
        <v>0</v>
      </c>
      <c r="AA53" s="38">
        <f>IF(AP53="1",BG53,0)</f>
        <v>0</v>
      </c>
      <c r="AB53" s="38">
        <f>IF(AP53="1",BH53,0)</f>
        <v>0</v>
      </c>
      <c r="AC53" s="38">
        <f>IF(AP53="7",BG53,0)</f>
        <v>0</v>
      </c>
      <c r="AD53" s="38">
        <f>IF(AP53="7",BH53,0)</f>
        <v>0</v>
      </c>
      <c r="AE53" s="38">
        <f>IF(AP53="2",BG53,0)</f>
        <v>0</v>
      </c>
      <c r="AF53" s="38">
        <f>IF(AP53="2",BH53,0)</f>
        <v>0</v>
      </c>
      <c r="AG53" s="38">
        <f>IF(AP53="0",BI53,0)</f>
        <v>0</v>
      </c>
      <c r="AH53" s="45" t="s">
        <v>178</v>
      </c>
      <c r="AI53" s="38">
        <f>IF(AM53=0,J53,0)</f>
        <v>0</v>
      </c>
      <c r="AJ53" s="38">
        <f>IF(AM53=15,J53,0)</f>
        <v>0</v>
      </c>
      <c r="AK53" s="38">
        <f>IF(AM53=21,J53,0)</f>
        <v>0</v>
      </c>
      <c r="AM53" s="38">
        <v>21</v>
      </c>
      <c r="AN53" s="38">
        <f>G53*0.579044117647059</f>
        <v>0</v>
      </c>
      <c r="AO53" s="38">
        <f>G53*(1-0.579044117647059)</f>
        <v>0</v>
      </c>
      <c r="AP53" s="12" t="s">
        <v>261</v>
      </c>
      <c r="AU53" s="38">
        <f>AV53+AW53</f>
        <v>0</v>
      </c>
      <c r="AV53" s="38">
        <f>F53*AN53</f>
        <v>0</v>
      </c>
      <c r="AW53" s="38">
        <f>F53*AO53</f>
        <v>0</v>
      </c>
      <c r="AX53" s="12" t="s">
        <v>253</v>
      </c>
      <c r="AY53" s="12" t="s">
        <v>98</v>
      </c>
      <c r="AZ53" s="45" t="s">
        <v>197</v>
      </c>
      <c r="BB53" s="38">
        <f>AV53+AW53</f>
        <v>0</v>
      </c>
      <c r="BC53" s="38">
        <f>G53/(100-BD53)*100</f>
        <v>0</v>
      </c>
      <c r="BD53" s="38">
        <v>0</v>
      </c>
      <c r="BE53" s="38">
        <f>53</f>
        <v>53</v>
      </c>
      <c r="BG53" s="38">
        <f>F53*AN53</f>
        <v>0</v>
      </c>
      <c r="BH53" s="38">
        <f>F53*AO53</f>
        <v>0</v>
      </c>
      <c r="BI53" s="38">
        <f>F53*G53</f>
        <v>0</v>
      </c>
      <c r="BJ53" s="38"/>
      <c r="BK53" s="38">
        <v>91</v>
      </c>
      <c r="BV53" s="38">
        <v>21</v>
      </c>
    </row>
    <row r="54" spans="1:46" ht="15" customHeight="1">
      <c r="A54" s="49" t="s">
        <v>178</v>
      </c>
      <c r="B54" s="7" t="s">
        <v>240</v>
      </c>
      <c r="C54" s="58" t="s">
        <v>31</v>
      </c>
      <c r="D54" s="59"/>
      <c r="E54" s="39" t="s">
        <v>237</v>
      </c>
      <c r="F54" s="39" t="s">
        <v>237</v>
      </c>
      <c r="G54" s="39" t="s">
        <v>237</v>
      </c>
      <c r="H54" s="48">
        <f>SUM(H55:H55)</f>
        <v>0</v>
      </c>
      <c r="I54" s="48">
        <f>SUM(I55:I55)</f>
        <v>0</v>
      </c>
      <c r="J54" s="48">
        <f>SUM(J55:J55)</f>
        <v>0</v>
      </c>
      <c r="K54" s="10"/>
      <c r="AH54" s="45" t="s">
        <v>178</v>
      </c>
      <c r="AR54" s="48">
        <f>SUM(AI55:AI55)</f>
        <v>0</v>
      </c>
      <c r="AS54" s="48">
        <f>SUM(AJ55:AJ55)</f>
        <v>0</v>
      </c>
      <c r="AT54" s="48">
        <f>SUM(AK55:AK55)</f>
        <v>0</v>
      </c>
    </row>
    <row r="55" spans="1:74" ht="13.5" customHeight="1">
      <c r="A55" s="15" t="s">
        <v>214</v>
      </c>
      <c r="B55" s="18" t="s">
        <v>251</v>
      </c>
      <c r="C55" s="53" t="s">
        <v>55</v>
      </c>
      <c r="D55" s="54"/>
      <c r="E55" s="18" t="s">
        <v>198</v>
      </c>
      <c r="F55" s="38">
        <v>1</v>
      </c>
      <c r="G55" s="38">
        <v>0</v>
      </c>
      <c r="H55" s="38">
        <f>F55*AN55</f>
        <v>0</v>
      </c>
      <c r="I55" s="38">
        <f>F55*AO55</f>
        <v>0</v>
      </c>
      <c r="J55" s="38">
        <f>F55*G55</f>
        <v>0</v>
      </c>
      <c r="K55" s="10"/>
      <c r="Y55" s="38">
        <f>IF(AP55="5",BI55,0)</f>
        <v>0</v>
      </c>
      <c r="AA55" s="38">
        <f>IF(AP55="1",BG55,0)</f>
        <v>0</v>
      </c>
      <c r="AB55" s="38">
        <f>IF(AP55="1",BH55,0)</f>
        <v>0</v>
      </c>
      <c r="AC55" s="38">
        <f>IF(AP55="7",BG55,0)</f>
        <v>0</v>
      </c>
      <c r="AD55" s="38">
        <f>IF(AP55="7",BH55,0)</f>
        <v>0</v>
      </c>
      <c r="AE55" s="38">
        <f>IF(AP55="2",BG55,0)</f>
        <v>0</v>
      </c>
      <c r="AF55" s="38">
        <f>IF(AP55="2",BH55,0)</f>
        <v>0</v>
      </c>
      <c r="AG55" s="38">
        <f>IF(AP55="0",BI55,0)</f>
        <v>0</v>
      </c>
      <c r="AH55" s="45" t="s">
        <v>178</v>
      </c>
      <c r="AI55" s="38">
        <f>IF(AM55=0,J55,0)</f>
        <v>0</v>
      </c>
      <c r="AJ55" s="38">
        <f>IF(AM55=15,J55,0)</f>
        <v>0</v>
      </c>
      <c r="AK55" s="38">
        <f>IF(AM55=21,J55,0)</f>
        <v>0</v>
      </c>
      <c r="AM55" s="38">
        <v>21</v>
      </c>
      <c r="AN55" s="38">
        <f>G55*0</f>
        <v>0</v>
      </c>
      <c r="AO55" s="38">
        <f>G55*(1-0)</f>
        <v>0</v>
      </c>
      <c r="AP55" s="12" t="s">
        <v>261</v>
      </c>
      <c r="AU55" s="38">
        <f>AV55+AW55</f>
        <v>0</v>
      </c>
      <c r="AV55" s="38">
        <f>F55*AN55</f>
        <v>0</v>
      </c>
      <c r="AW55" s="38">
        <f>F55*AO55</f>
        <v>0</v>
      </c>
      <c r="AX55" s="12" t="s">
        <v>222</v>
      </c>
      <c r="AY55" s="12" t="s">
        <v>98</v>
      </c>
      <c r="AZ55" s="45" t="s">
        <v>197</v>
      </c>
      <c r="BB55" s="38">
        <f>AV55+AW55</f>
        <v>0</v>
      </c>
      <c r="BC55" s="38">
        <f>G55/(100-BD55)*100</f>
        <v>0</v>
      </c>
      <c r="BD55" s="38">
        <v>0</v>
      </c>
      <c r="BE55" s="38">
        <f>55</f>
        <v>55</v>
      </c>
      <c r="BG55" s="38">
        <f>F55*AN55</f>
        <v>0</v>
      </c>
      <c r="BH55" s="38">
        <f>F55*AO55</f>
        <v>0</v>
      </c>
      <c r="BI55" s="38">
        <f>F55*G55</f>
        <v>0</v>
      </c>
      <c r="BJ55" s="38"/>
      <c r="BK55" s="38">
        <v>999</v>
      </c>
      <c r="BV55" s="38">
        <v>21</v>
      </c>
    </row>
    <row r="56" spans="1:46" ht="15" customHeight="1">
      <c r="A56" s="49" t="s">
        <v>178</v>
      </c>
      <c r="B56" s="7" t="s">
        <v>148</v>
      </c>
      <c r="C56" s="58" t="s">
        <v>141</v>
      </c>
      <c r="D56" s="59"/>
      <c r="E56" s="39" t="s">
        <v>237</v>
      </c>
      <c r="F56" s="39" t="s">
        <v>237</v>
      </c>
      <c r="G56" s="39" t="s">
        <v>237</v>
      </c>
      <c r="H56" s="48">
        <f>SUM(H57:H57)</f>
        <v>0</v>
      </c>
      <c r="I56" s="48">
        <f>SUM(I57:I57)</f>
        <v>0</v>
      </c>
      <c r="J56" s="48">
        <f>SUM(J57:J57)</f>
        <v>0</v>
      </c>
      <c r="K56" s="10"/>
      <c r="AH56" s="45" t="s">
        <v>178</v>
      </c>
      <c r="AR56" s="48">
        <f>SUM(AI57:AI57)</f>
        <v>0</v>
      </c>
      <c r="AS56" s="48">
        <f>SUM(AJ57:AJ57)</f>
        <v>0</v>
      </c>
      <c r="AT56" s="48">
        <f>SUM(AK57:AK57)</f>
        <v>0</v>
      </c>
    </row>
    <row r="57" spans="1:74" ht="27" customHeight="1">
      <c r="A57" s="15" t="s">
        <v>62</v>
      </c>
      <c r="B57" s="18" t="s">
        <v>221</v>
      </c>
      <c r="C57" s="53" t="s">
        <v>174</v>
      </c>
      <c r="D57" s="54"/>
      <c r="E57" s="18" t="s">
        <v>124</v>
      </c>
      <c r="F57" s="38">
        <v>114.94</v>
      </c>
      <c r="G57" s="38">
        <v>0</v>
      </c>
      <c r="H57" s="38">
        <f>F57*AN57</f>
        <v>0</v>
      </c>
      <c r="I57" s="38">
        <f>F57*AO57</f>
        <v>0</v>
      </c>
      <c r="J57" s="38">
        <f>F57*G57</f>
        <v>0</v>
      </c>
      <c r="K57" s="10"/>
      <c r="Y57" s="38">
        <f>IF(AP57="5",BI57,0)</f>
        <v>0</v>
      </c>
      <c r="AA57" s="38">
        <f>IF(AP57="1",BG57,0)</f>
        <v>0</v>
      </c>
      <c r="AB57" s="38">
        <f>IF(AP57="1",BH57,0)</f>
        <v>0</v>
      </c>
      <c r="AC57" s="38">
        <f>IF(AP57="7",BG57,0)</f>
        <v>0</v>
      </c>
      <c r="AD57" s="38">
        <f>IF(AP57="7",BH57,0)</f>
        <v>0</v>
      </c>
      <c r="AE57" s="38">
        <f>IF(AP57="2",BG57,0)</f>
        <v>0</v>
      </c>
      <c r="AF57" s="38">
        <f>IF(AP57="2",BH57,0)</f>
        <v>0</v>
      </c>
      <c r="AG57" s="38">
        <f>IF(AP57="0",BI57,0)</f>
        <v>0</v>
      </c>
      <c r="AH57" s="45" t="s">
        <v>178</v>
      </c>
      <c r="AI57" s="38">
        <f>IF(AM57=0,J57,0)</f>
        <v>0</v>
      </c>
      <c r="AJ57" s="38">
        <f>IF(AM57=15,J57,0)</f>
        <v>0</v>
      </c>
      <c r="AK57" s="38">
        <f>IF(AM57=21,J57,0)</f>
        <v>0</v>
      </c>
      <c r="AM57" s="38">
        <v>21</v>
      </c>
      <c r="AN57" s="38">
        <f>G57*0</f>
        <v>0</v>
      </c>
      <c r="AO57" s="38">
        <f>G57*(1-0)</f>
        <v>0</v>
      </c>
      <c r="AP57" s="12" t="s">
        <v>138</v>
      </c>
      <c r="AU57" s="38">
        <f>AV57+AW57</f>
        <v>0</v>
      </c>
      <c r="AV57" s="38">
        <f>F57*AN57</f>
        <v>0</v>
      </c>
      <c r="AW57" s="38">
        <f>F57*AO57</f>
        <v>0</v>
      </c>
      <c r="AX57" s="12" t="s">
        <v>84</v>
      </c>
      <c r="AY57" s="12" t="s">
        <v>98</v>
      </c>
      <c r="AZ57" s="45" t="s">
        <v>197</v>
      </c>
      <c r="BB57" s="38">
        <f>AV57+AW57</f>
        <v>0</v>
      </c>
      <c r="BC57" s="38">
        <f>G57/(100-BD57)*100</f>
        <v>0</v>
      </c>
      <c r="BD57" s="38">
        <v>0</v>
      </c>
      <c r="BE57" s="38">
        <f>57</f>
        <v>57</v>
      </c>
      <c r="BG57" s="38">
        <f>F57*AN57</f>
        <v>0</v>
      </c>
      <c r="BH57" s="38">
        <f>F57*AO57</f>
        <v>0</v>
      </c>
      <c r="BI57" s="38">
        <f>F57*G57</f>
        <v>0</v>
      </c>
      <c r="BJ57" s="38"/>
      <c r="BK57" s="38"/>
      <c r="BV57" s="38">
        <v>21</v>
      </c>
    </row>
    <row r="58" spans="1:46" ht="15" customHeight="1">
      <c r="A58" s="49" t="s">
        <v>178</v>
      </c>
      <c r="B58" s="7" t="s">
        <v>91</v>
      </c>
      <c r="C58" s="58" t="s">
        <v>116</v>
      </c>
      <c r="D58" s="59"/>
      <c r="E58" s="39" t="s">
        <v>237</v>
      </c>
      <c r="F58" s="39" t="s">
        <v>237</v>
      </c>
      <c r="G58" s="39" t="s">
        <v>237</v>
      </c>
      <c r="H58" s="48">
        <f>SUM(H59:H61)</f>
        <v>0</v>
      </c>
      <c r="I58" s="48">
        <f>SUM(I59:I61)</f>
        <v>0</v>
      </c>
      <c r="J58" s="48">
        <f>SUM(J59:J61)</f>
        <v>0</v>
      </c>
      <c r="K58" s="10"/>
      <c r="AH58" s="45" t="s">
        <v>178</v>
      </c>
      <c r="AR58" s="48">
        <f>SUM(AI59:AI61)</f>
        <v>0</v>
      </c>
      <c r="AS58" s="48">
        <f>SUM(AJ59:AJ61)</f>
        <v>0</v>
      </c>
      <c r="AT58" s="48">
        <f>SUM(AK59:AK61)</f>
        <v>0</v>
      </c>
    </row>
    <row r="59" spans="1:74" ht="27" customHeight="1">
      <c r="A59" s="15" t="s">
        <v>288</v>
      </c>
      <c r="B59" s="18" t="s">
        <v>34</v>
      </c>
      <c r="C59" s="53" t="s">
        <v>191</v>
      </c>
      <c r="D59" s="54"/>
      <c r="E59" s="18" t="s">
        <v>124</v>
      </c>
      <c r="F59" s="38">
        <v>61.05</v>
      </c>
      <c r="G59" s="38">
        <v>0</v>
      </c>
      <c r="H59" s="38">
        <f>F59*AN59</f>
        <v>0</v>
      </c>
      <c r="I59" s="38">
        <f>F59*AO59</f>
        <v>0</v>
      </c>
      <c r="J59" s="38">
        <f>F59*G59</f>
        <v>0</v>
      </c>
      <c r="K59" s="10"/>
      <c r="Y59" s="38">
        <f>IF(AP59="5",BI59,0)</f>
        <v>0</v>
      </c>
      <c r="AA59" s="38">
        <f>IF(AP59="1",BG59,0)</f>
        <v>0</v>
      </c>
      <c r="AB59" s="38">
        <f>IF(AP59="1",BH59,0)</f>
        <v>0</v>
      </c>
      <c r="AC59" s="38">
        <f>IF(AP59="7",BG59,0)</f>
        <v>0</v>
      </c>
      <c r="AD59" s="38">
        <f>IF(AP59="7",BH59,0)</f>
        <v>0</v>
      </c>
      <c r="AE59" s="38">
        <f>IF(AP59="2",BG59,0)</f>
        <v>0</v>
      </c>
      <c r="AF59" s="38">
        <f>IF(AP59="2",BH59,0)</f>
        <v>0</v>
      </c>
      <c r="AG59" s="38">
        <f>IF(AP59="0",BI59,0)</f>
        <v>0</v>
      </c>
      <c r="AH59" s="45" t="s">
        <v>178</v>
      </c>
      <c r="AI59" s="38">
        <f>IF(AM59=0,J59,0)</f>
        <v>0</v>
      </c>
      <c r="AJ59" s="38">
        <f>IF(AM59=15,J59,0)</f>
        <v>0</v>
      </c>
      <c r="AK59" s="38">
        <f>IF(AM59=21,J59,0)</f>
        <v>0</v>
      </c>
      <c r="AM59" s="38">
        <v>21</v>
      </c>
      <c r="AN59" s="38">
        <f>G59*0</f>
        <v>0</v>
      </c>
      <c r="AO59" s="38">
        <f>G59*(1-0)</f>
        <v>0</v>
      </c>
      <c r="AP59" s="12" t="s">
        <v>138</v>
      </c>
      <c r="AU59" s="38">
        <f>AV59+AW59</f>
        <v>0</v>
      </c>
      <c r="AV59" s="38">
        <f>F59*AN59</f>
        <v>0</v>
      </c>
      <c r="AW59" s="38">
        <f>F59*AO59</f>
        <v>0</v>
      </c>
      <c r="AX59" s="12" t="s">
        <v>115</v>
      </c>
      <c r="AY59" s="12" t="s">
        <v>98</v>
      </c>
      <c r="AZ59" s="45" t="s">
        <v>197</v>
      </c>
      <c r="BB59" s="38">
        <f>AV59+AW59</f>
        <v>0</v>
      </c>
      <c r="BC59" s="38">
        <f>G59/(100-BD59)*100</f>
        <v>0</v>
      </c>
      <c r="BD59" s="38">
        <v>0</v>
      </c>
      <c r="BE59" s="38">
        <f>59</f>
        <v>59</v>
      </c>
      <c r="BG59" s="38">
        <f>F59*AN59</f>
        <v>0</v>
      </c>
      <c r="BH59" s="38">
        <f>F59*AO59</f>
        <v>0</v>
      </c>
      <c r="BI59" s="38">
        <f>F59*G59</f>
        <v>0</v>
      </c>
      <c r="BJ59" s="38"/>
      <c r="BK59" s="38"/>
      <c r="BV59" s="38">
        <v>21</v>
      </c>
    </row>
    <row r="60" spans="1:74" ht="27" customHeight="1">
      <c r="A60" s="15" t="s">
        <v>225</v>
      </c>
      <c r="B60" s="18" t="s">
        <v>282</v>
      </c>
      <c r="C60" s="53" t="s">
        <v>122</v>
      </c>
      <c r="D60" s="54"/>
      <c r="E60" s="18" t="s">
        <v>124</v>
      </c>
      <c r="F60" s="38">
        <v>61.05</v>
      </c>
      <c r="G60" s="38">
        <v>0</v>
      </c>
      <c r="H60" s="38">
        <f>F60*AN60</f>
        <v>0</v>
      </c>
      <c r="I60" s="38">
        <f>F60*AO60</f>
        <v>0</v>
      </c>
      <c r="J60" s="38">
        <f>F60*G60</f>
        <v>0</v>
      </c>
      <c r="K60" s="10"/>
      <c r="Y60" s="38">
        <f>IF(AP60="5",BI60,0)</f>
        <v>0</v>
      </c>
      <c r="AA60" s="38">
        <f>IF(AP60="1",BG60,0)</f>
        <v>0</v>
      </c>
      <c r="AB60" s="38">
        <f>IF(AP60="1",BH60,0)</f>
        <v>0</v>
      </c>
      <c r="AC60" s="38">
        <f>IF(AP60="7",BG60,0)</f>
        <v>0</v>
      </c>
      <c r="AD60" s="38">
        <f>IF(AP60="7",BH60,0)</f>
        <v>0</v>
      </c>
      <c r="AE60" s="38">
        <f>IF(AP60="2",BG60,0)</f>
        <v>0</v>
      </c>
      <c r="AF60" s="38">
        <f>IF(AP60="2",BH60,0)</f>
        <v>0</v>
      </c>
      <c r="AG60" s="38">
        <f>IF(AP60="0",BI60,0)</f>
        <v>0</v>
      </c>
      <c r="AH60" s="45" t="s">
        <v>178</v>
      </c>
      <c r="AI60" s="38">
        <f>IF(AM60=0,J60,0)</f>
        <v>0</v>
      </c>
      <c r="AJ60" s="38">
        <f>IF(AM60=15,J60,0)</f>
        <v>0</v>
      </c>
      <c r="AK60" s="38">
        <f>IF(AM60=21,J60,0)</f>
        <v>0</v>
      </c>
      <c r="AM60" s="38">
        <v>21</v>
      </c>
      <c r="AN60" s="38">
        <f>G60*0</f>
        <v>0</v>
      </c>
      <c r="AO60" s="38">
        <f>G60*(1-0)</f>
        <v>0</v>
      </c>
      <c r="AP60" s="12" t="s">
        <v>138</v>
      </c>
      <c r="AU60" s="38">
        <f>AV60+AW60</f>
        <v>0</v>
      </c>
      <c r="AV60" s="38">
        <f>F60*AN60</f>
        <v>0</v>
      </c>
      <c r="AW60" s="38">
        <f>F60*AO60</f>
        <v>0</v>
      </c>
      <c r="AX60" s="12" t="s">
        <v>115</v>
      </c>
      <c r="AY60" s="12" t="s">
        <v>98</v>
      </c>
      <c r="AZ60" s="45" t="s">
        <v>197</v>
      </c>
      <c r="BB60" s="38">
        <f>AV60+AW60</f>
        <v>0</v>
      </c>
      <c r="BC60" s="38">
        <f>G60/(100-BD60)*100</f>
        <v>0</v>
      </c>
      <c r="BD60" s="38">
        <v>0</v>
      </c>
      <c r="BE60" s="38">
        <f>60</f>
        <v>60</v>
      </c>
      <c r="BG60" s="38">
        <f>F60*AN60</f>
        <v>0</v>
      </c>
      <c r="BH60" s="38">
        <f>F60*AO60</f>
        <v>0</v>
      </c>
      <c r="BI60" s="38">
        <f>F60*G60</f>
        <v>0</v>
      </c>
      <c r="BJ60" s="38"/>
      <c r="BK60" s="38"/>
      <c r="BV60" s="38">
        <v>21</v>
      </c>
    </row>
    <row r="61" spans="1:74" ht="13.5" customHeight="1">
      <c r="A61" s="15" t="s">
        <v>153</v>
      </c>
      <c r="B61" s="18" t="s">
        <v>60</v>
      </c>
      <c r="C61" s="53" t="s">
        <v>250</v>
      </c>
      <c r="D61" s="54"/>
      <c r="E61" s="18" t="s">
        <v>124</v>
      </c>
      <c r="F61" s="38">
        <v>61.05</v>
      </c>
      <c r="G61" s="38">
        <v>0</v>
      </c>
      <c r="H61" s="38">
        <f>F61*AN61</f>
        <v>0</v>
      </c>
      <c r="I61" s="38">
        <f>F61*AO61</f>
        <v>0</v>
      </c>
      <c r="J61" s="38">
        <f>F61*G61</f>
        <v>0</v>
      </c>
      <c r="K61" s="10"/>
      <c r="Y61" s="38">
        <f>IF(AP61="5",BI61,0)</f>
        <v>0</v>
      </c>
      <c r="AA61" s="38">
        <f>IF(AP61="1",BG61,0)</f>
        <v>0</v>
      </c>
      <c r="AB61" s="38">
        <f>IF(AP61="1",BH61,0)</f>
        <v>0</v>
      </c>
      <c r="AC61" s="38">
        <f>IF(AP61="7",BG61,0)</f>
        <v>0</v>
      </c>
      <c r="AD61" s="38">
        <f>IF(AP61="7",BH61,0)</f>
        <v>0</v>
      </c>
      <c r="AE61" s="38">
        <f>IF(AP61="2",BG61,0)</f>
        <v>0</v>
      </c>
      <c r="AF61" s="38">
        <f>IF(AP61="2",BH61,0)</f>
        <v>0</v>
      </c>
      <c r="AG61" s="38">
        <f>IF(AP61="0",BI61,0)</f>
        <v>0</v>
      </c>
      <c r="AH61" s="45" t="s">
        <v>178</v>
      </c>
      <c r="AI61" s="38">
        <f>IF(AM61=0,J61,0)</f>
        <v>0</v>
      </c>
      <c r="AJ61" s="38">
        <f>IF(AM61=15,J61,0)</f>
        <v>0</v>
      </c>
      <c r="AK61" s="38">
        <f>IF(AM61=21,J61,0)</f>
        <v>0</v>
      </c>
      <c r="AM61" s="38">
        <v>21</v>
      </c>
      <c r="AN61" s="38">
        <f>G61*0</f>
        <v>0</v>
      </c>
      <c r="AO61" s="38">
        <f>G61*(1-0)</f>
        <v>0</v>
      </c>
      <c r="AP61" s="12" t="s">
        <v>138</v>
      </c>
      <c r="AU61" s="38">
        <f>AV61+AW61</f>
        <v>0</v>
      </c>
      <c r="AV61" s="38">
        <f>F61*AN61</f>
        <v>0</v>
      </c>
      <c r="AW61" s="38">
        <f>F61*AO61</f>
        <v>0</v>
      </c>
      <c r="AX61" s="12" t="s">
        <v>115</v>
      </c>
      <c r="AY61" s="12" t="s">
        <v>98</v>
      </c>
      <c r="AZ61" s="45" t="s">
        <v>197</v>
      </c>
      <c r="BB61" s="38">
        <f>AV61+AW61</f>
        <v>0</v>
      </c>
      <c r="BC61" s="38">
        <f>G61/(100-BD61)*100</f>
        <v>0</v>
      </c>
      <c r="BD61" s="38">
        <v>0</v>
      </c>
      <c r="BE61" s="38">
        <f>61</f>
        <v>61</v>
      </c>
      <c r="BG61" s="38">
        <f>F61*AN61</f>
        <v>0</v>
      </c>
      <c r="BH61" s="38">
        <f>F61*AO61</f>
        <v>0</v>
      </c>
      <c r="BI61" s="38">
        <f>F61*G61</f>
        <v>0</v>
      </c>
      <c r="BJ61" s="38"/>
      <c r="BK61" s="38"/>
      <c r="BV61" s="38">
        <v>21</v>
      </c>
    </row>
    <row r="62" spans="1:46" ht="15" customHeight="1">
      <c r="A62" s="49" t="s">
        <v>178</v>
      </c>
      <c r="B62" s="7" t="s">
        <v>178</v>
      </c>
      <c r="C62" s="58" t="s">
        <v>17</v>
      </c>
      <c r="D62" s="59"/>
      <c r="E62" s="39" t="s">
        <v>237</v>
      </c>
      <c r="F62" s="39" t="s">
        <v>237</v>
      </c>
      <c r="G62" s="39" t="s">
        <v>237</v>
      </c>
      <c r="H62" s="48">
        <f>SUM(H63:H72)</f>
        <v>0</v>
      </c>
      <c r="I62" s="48">
        <f>SUM(I63:I72)</f>
        <v>0</v>
      </c>
      <c r="J62" s="48">
        <f>SUM(J63:J72)</f>
        <v>0</v>
      </c>
      <c r="K62" s="10"/>
      <c r="AH62" s="45" t="s">
        <v>178</v>
      </c>
      <c r="AR62" s="48">
        <f>SUM(AI63:AI72)</f>
        <v>0</v>
      </c>
      <c r="AS62" s="48">
        <f>SUM(AJ63:AJ72)</f>
        <v>0</v>
      </c>
      <c r="AT62" s="48">
        <f>SUM(AK63:AK72)</f>
        <v>0</v>
      </c>
    </row>
    <row r="63" spans="1:74" ht="27" customHeight="1">
      <c r="A63" s="15" t="s">
        <v>255</v>
      </c>
      <c r="B63" s="18" t="s">
        <v>13</v>
      </c>
      <c r="C63" s="53" t="s">
        <v>29</v>
      </c>
      <c r="D63" s="54"/>
      <c r="E63" s="18" t="s">
        <v>210</v>
      </c>
      <c r="F63" s="38">
        <v>79</v>
      </c>
      <c r="G63" s="38">
        <v>0</v>
      </c>
      <c r="H63" s="38">
        <f aca="true" t="shared" si="0" ref="H63:H72">F63*AN63</f>
        <v>0</v>
      </c>
      <c r="I63" s="38">
        <f aca="true" t="shared" si="1" ref="I63:I72">F63*AO63</f>
        <v>0</v>
      </c>
      <c r="J63" s="38">
        <f aca="true" t="shared" si="2" ref="J63:J72">F63*G63</f>
        <v>0</v>
      </c>
      <c r="K63" s="10"/>
      <c r="Y63" s="38">
        <f aca="true" t="shared" si="3" ref="Y63:Y72">IF(AP63="5",BI63,0)</f>
        <v>0</v>
      </c>
      <c r="AA63" s="38">
        <f aca="true" t="shared" si="4" ref="AA63:AA72">IF(AP63="1",BG63,0)</f>
        <v>0</v>
      </c>
      <c r="AB63" s="38">
        <f aca="true" t="shared" si="5" ref="AB63:AB72">IF(AP63="1",BH63,0)</f>
        <v>0</v>
      </c>
      <c r="AC63" s="38">
        <f aca="true" t="shared" si="6" ref="AC63:AC72">IF(AP63="7",BG63,0)</f>
        <v>0</v>
      </c>
      <c r="AD63" s="38">
        <f aca="true" t="shared" si="7" ref="AD63:AD72">IF(AP63="7",BH63,0)</f>
        <v>0</v>
      </c>
      <c r="AE63" s="38">
        <f aca="true" t="shared" si="8" ref="AE63:AE72">IF(AP63="2",BG63,0)</f>
        <v>0</v>
      </c>
      <c r="AF63" s="38">
        <f aca="true" t="shared" si="9" ref="AF63:AF72">IF(AP63="2",BH63,0)</f>
        <v>0</v>
      </c>
      <c r="AG63" s="38">
        <f aca="true" t="shared" si="10" ref="AG63:AG72">IF(AP63="0",BI63,0)</f>
        <v>0</v>
      </c>
      <c r="AH63" s="45" t="s">
        <v>178</v>
      </c>
      <c r="AI63" s="38">
        <f aca="true" t="shared" si="11" ref="AI63:AI72">IF(AM63=0,J63,0)</f>
        <v>0</v>
      </c>
      <c r="AJ63" s="38">
        <f aca="true" t="shared" si="12" ref="AJ63:AJ72">IF(AM63=15,J63,0)</f>
        <v>0</v>
      </c>
      <c r="AK63" s="38">
        <f aca="true" t="shared" si="13" ref="AK63:AK72">IF(AM63=21,J63,0)</f>
        <v>0</v>
      </c>
      <c r="AM63" s="38">
        <v>21</v>
      </c>
      <c r="AN63" s="38">
        <f aca="true" t="shared" si="14" ref="AN63:AN72">G63*1</f>
        <v>0</v>
      </c>
      <c r="AO63" s="38">
        <f aca="true" t="shared" si="15" ref="AO63:AO72">G63*(1-1)</f>
        <v>0</v>
      </c>
      <c r="AP63" s="12" t="s">
        <v>136</v>
      </c>
      <c r="AU63" s="38">
        <f aca="true" t="shared" si="16" ref="AU63:AU72">AV63+AW63</f>
        <v>0</v>
      </c>
      <c r="AV63" s="38">
        <f aca="true" t="shared" si="17" ref="AV63:AV72">F63*AN63</f>
        <v>0</v>
      </c>
      <c r="AW63" s="38">
        <f aca="true" t="shared" si="18" ref="AW63:AW72">F63*AO63</f>
        <v>0</v>
      </c>
      <c r="AX63" s="12" t="s">
        <v>61</v>
      </c>
      <c r="AY63" s="12" t="s">
        <v>236</v>
      </c>
      <c r="AZ63" s="45" t="s">
        <v>197</v>
      </c>
      <c r="BB63" s="38">
        <f aca="true" t="shared" si="19" ref="BB63:BB72">AV63+AW63</f>
        <v>0</v>
      </c>
      <c r="BC63" s="38">
        <f aca="true" t="shared" si="20" ref="BC63:BC72">G63/(100-BD63)*100</f>
        <v>0</v>
      </c>
      <c r="BD63" s="38">
        <v>0</v>
      </c>
      <c r="BE63" s="38">
        <f>63</f>
        <v>63</v>
      </c>
      <c r="BG63" s="38">
        <f aca="true" t="shared" si="21" ref="BG63:BG72">F63*AN63</f>
        <v>0</v>
      </c>
      <c r="BH63" s="38">
        <f aca="true" t="shared" si="22" ref="BH63:BH72">F63*AO63</f>
        <v>0</v>
      </c>
      <c r="BI63" s="38">
        <f aca="true" t="shared" si="23" ref="BI63:BI72">F63*G63</f>
        <v>0</v>
      </c>
      <c r="BJ63" s="38"/>
      <c r="BK63" s="38"/>
      <c r="BV63" s="38">
        <v>21</v>
      </c>
    </row>
    <row r="64" spans="1:74" ht="27" customHeight="1">
      <c r="A64" s="15" t="s">
        <v>159</v>
      </c>
      <c r="B64" s="18" t="s">
        <v>233</v>
      </c>
      <c r="C64" s="53" t="s">
        <v>44</v>
      </c>
      <c r="D64" s="54"/>
      <c r="E64" s="18" t="s">
        <v>210</v>
      </c>
      <c r="F64" s="38">
        <v>3</v>
      </c>
      <c r="G64" s="38">
        <v>0</v>
      </c>
      <c r="H64" s="38">
        <f t="shared" si="0"/>
        <v>0</v>
      </c>
      <c r="I64" s="38">
        <f t="shared" si="1"/>
        <v>0</v>
      </c>
      <c r="J64" s="38">
        <f t="shared" si="2"/>
        <v>0</v>
      </c>
      <c r="K64" s="10"/>
      <c r="Y64" s="38">
        <f t="shared" si="3"/>
        <v>0</v>
      </c>
      <c r="AA64" s="38">
        <f t="shared" si="4"/>
        <v>0</v>
      </c>
      <c r="AB64" s="38">
        <f t="shared" si="5"/>
        <v>0</v>
      </c>
      <c r="AC64" s="38">
        <f t="shared" si="6"/>
        <v>0</v>
      </c>
      <c r="AD64" s="38">
        <f t="shared" si="7"/>
        <v>0</v>
      </c>
      <c r="AE64" s="38">
        <f t="shared" si="8"/>
        <v>0</v>
      </c>
      <c r="AF64" s="38">
        <f t="shared" si="9"/>
        <v>0</v>
      </c>
      <c r="AG64" s="38">
        <f t="shared" si="10"/>
        <v>0</v>
      </c>
      <c r="AH64" s="45" t="s">
        <v>178</v>
      </c>
      <c r="AI64" s="38">
        <f t="shared" si="11"/>
        <v>0</v>
      </c>
      <c r="AJ64" s="38">
        <f t="shared" si="12"/>
        <v>0</v>
      </c>
      <c r="AK64" s="38">
        <f t="shared" si="13"/>
        <v>0</v>
      </c>
      <c r="AM64" s="38">
        <v>21</v>
      </c>
      <c r="AN64" s="38">
        <f t="shared" si="14"/>
        <v>0</v>
      </c>
      <c r="AO64" s="38">
        <f t="shared" si="15"/>
        <v>0</v>
      </c>
      <c r="AP64" s="12" t="s">
        <v>136</v>
      </c>
      <c r="AU64" s="38">
        <f t="shared" si="16"/>
        <v>0</v>
      </c>
      <c r="AV64" s="38">
        <f t="shared" si="17"/>
        <v>0</v>
      </c>
      <c r="AW64" s="38">
        <f t="shared" si="18"/>
        <v>0</v>
      </c>
      <c r="AX64" s="12" t="s">
        <v>61</v>
      </c>
      <c r="AY64" s="12" t="s">
        <v>236</v>
      </c>
      <c r="AZ64" s="45" t="s">
        <v>197</v>
      </c>
      <c r="BB64" s="38">
        <f t="shared" si="19"/>
        <v>0</v>
      </c>
      <c r="BC64" s="38">
        <f t="shared" si="20"/>
        <v>0</v>
      </c>
      <c r="BD64" s="38">
        <v>0</v>
      </c>
      <c r="BE64" s="38">
        <f>64</f>
        <v>64</v>
      </c>
      <c r="BG64" s="38">
        <f t="shared" si="21"/>
        <v>0</v>
      </c>
      <c r="BH64" s="38">
        <f t="shared" si="22"/>
        <v>0</v>
      </c>
      <c r="BI64" s="38">
        <f t="shared" si="23"/>
        <v>0</v>
      </c>
      <c r="BJ64" s="38"/>
      <c r="BK64" s="38"/>
      <c r="BV64" s="38">
        <v>21</v>
      </c>
    </row>
    <row r="65" spans="1:74" ht="13.5" customHeight="1">
      <c r="A65" s="15" t="s">
        <v>168</v>
      </c>
      <c r="B65" s="18" t="s">
        <v>135</v>
      </c>
      <c r="C65" s="53" t="s">
        <v>291</v>
      </c>
      <c r="D65" s="54"/>
      <c r="E65" s="18" t="s">
        <v>70</v>
      </c>
      <c r="F65" s="38">
        <v>13</v>
      </c>
      <c r="G65" s="38">
        <v>0</v>
      </c>
      <c r="H65" s="38">
        <f t="shared" si="0"/>
        <v>0</v>
      </c>
      <c r="I65" s="38">
        <f t="shared" si="1"/>
        <v>0</v>
      </c>
      <c r="J65" s="38">
        <f t="shared" si="2"/>
        <v>0</v>
      </c>
      <c r="K65" s="10"/>
      <c r="Y65" s="38">
        <f t="shared" si="3"/>
        <v>0</v>
      </c>
      <c r="AA65" s="38">
        <f t="shared" si="4"/>
        <v>0</v>
      </c>
      <c r="AB65" s="38">
        <f t="shared" si="5"/>
        <v>0</v>
      </c>
      <c r="AC65" s="38">
        <f t="shared" si="6"/>
        <v>0</v>
      </c>
      <c r="AD65" s="38">
        <f t="shared" si="7"/>
        <v>0</v>
      </c>
      <c r="AE65" s="38">
        <f t="shared" si="8"/>
        <v>0</v>
      </c>
      <c r="AF65" s="38">
        <f t="shared" si="9"/>
        <v>0</v>
      </c>
      <c r="AG65" s="38">
        <f t="shared" si="10"/>
        <v>0</v>
      </c>
      <c r="AH65" s="45" t="s">
        <v>178</v>
      </c>
      <c r="AI65" s="38">
        <f t="shared" si="11"/>
        <v>0</v>
      </c>
      <c r="AJ65" s="38">
        <f t="shared" si="12"/>
        <v>0</v>
      </c>
      <c r="AK65" s="38">
        <f t="shared" si="13"/>
        <v>0</v>
      </c>
      <c r="AM65" s="38">
        <v>21</v>
      </c>
      <c r="AN65" s="38">
        <f t="shared" si="14"/>
        <v>0</v>
      </c>
      <c r="AO65" s="38">
        <f t="shared" si="15"/>
        <v>0</v>
      </c>
      <c r="AP65" s="12" t="s">
        <v>136</v>
      </c>
      <c r="AU65" s="38">
        <f t="shared" si="16"/>
        <v>0</v>
      </c>
      <c r="AV65" s="38">
        <f t="shared" si="17"/>
        <v>0</v>
      </c>
      <c r="AW65" s="38">
        <f t="shared" si="18"/>
        <v>0</v>
      </c>
      <c r="AX65" s="12" t="s">
        <v>61</v>
      </c>
      <c r="AY65" s="12" t="s">
        <v>236</v>
      </c>
      <c r="AZ65" s="45" t="s">
        <v>197</v>
      </c>
      <c r="BB65" s="38">
        <f t="shared" si="19"/>
        <v>0</v>
      </c>
      <c r="BC65" s="38">
        <f t="shared" si="20"/>
        <v>0</v>
      </c>
      <c r="BD65" s="38">
        <v>0</v>
      </c>
      <c r="BE65" s="38">
        <f>65</f>
        <v>65</v>
      </c>
      <c r="BG65" s="38">
        <f t="shared" si="21"/>
        <v>0</v>
      </c>
      <c r="BH65" s="38">
        <f t="shared" si="22"/>
        <v>0</v>
      </c>
      <c r="BI65" s="38">
        <f t="shared" si="23"/>
        <v>0</v>
      </c>
      <c r="BJ65" s="38"/>
      <c r="BK65" s="38"/>
      <c r="BV65" s="38">
        <v>21</v>
      </c>
    </row>
    <row r="66" spans="1:74" ht="13.5" customHeight="1">
      <c r="A66" s="15" t="s">
        <v>97</v>
      </c>
      <c r="B66" s="18" t="s">
        <v>5</v>
      </c>
      <c r="C66" s="53" t="s">
        <v>74</v>
      </c>
      <c r="D66" s="54"/>
      <c r="E66" s="18" t="s">
        <v>70</v>
      </c>
      <c r="F66" s="38">
        <v>13</v>
      </c>
      <c r="G66" s="38">
        <v>0</v>
      </c>
      <c r="H66" s="38">
        <f t="shared" si="0"/>
        <v>0</v>
      </c>
      <c r="I66" s="38">
        <f t="shared" si="1"/>
        <v>0</v>
      </c>
      <c r="J66" s="38">
        <f t="shared" si="2"/>
        <v>0</v>
      </c>
      <c r="K66" s="10"/>
      <c r="Y66" s="38">
        <f t="shared" si="3"/>
        <v>0</v>
      </c>
      <c r="AA66" s="38">
        <f t="shared" si="4"/>
        <v>0</v>
      </c>
      <c r="AB66" s="38">
        <f t="shared" si="5"/>
        <v>0</v>
      </c>
      <c r="AC66" s="38">
        <f t="shared" si="6"/>
        <v>0</v>
      </c>
      <c r="AD66" s="38">
        <f t="shared" si="7"/>
        <v>0</v>
      </c>
      <c r="AE66" s="38">
        <f t="shared" si="8"/>
        <v>0</v>
      </c>
      <c r="AF66" s="38">
        <f t="shared" si="9"/>
        <v>0</v>
      </c>
      <c r="AG66" s="38">
        <f t="shared" si="10"/>
        <v>0</v>
      </c>
      <c r="AH66" s="45" t="s">
        <v>178</v>
      </c>
      <c r="AI66" s="38">
        <f t="shared" si="11"/>
        <v>0</v>
      </c>
      <c r="AJ66" s="38">
        <f t="shared" si="12"/>
        <v>0</v>
      </c>
      <c r="AK66" s="38">
        <f t="shared" si="13"/>
        <v>0</v>
      </c>
      <c r="AM66" s="38">
        <v>21</v>
      </c>
      <c r="AN66" s="38">
        <f t="shared" si="14"/>
        <v>0</v>
      </c>
      <c r="AO66" s="38">
        <f t="shared" si="15"/>
        <v>0</v>
      </c>
      <c r="AP66" s="12" t="s">
        <v>136</v>
      </c>
      <c r="AU66" s="38">
        <f t="shared" si="16"/>
        <v>0</v>
      </c>
      <c r="AV66" s="38">
        <f t="shared" si="17"/>
        <v>0</v>
      </c>
      <c r="AW66" s="38">
        <f t="shared" si="18"/>
        <v>0</v>
      </c>
      <c r="AX66" s="12" t="s">
        <v>61</v>
      </c>
      <c r="AY66" s="12" t="s">
        <v>236</v>
      </c>
      <c r="AZ66" s="45" t="s">
        <v>197</v>
      </c>
      <c r="BB66" s="38">
        <f t="shared" si="19"/>
        <v>0</v>
      </c>
      <c r="BC66" s="38">
        <f t="shared" si="20"/>
        <v>0</v>
      </c>
      <c r="BD66" s="38">
        <v>0</v>
      </c>
      <c r="BE66" s="38">
        <f>66</f>
        <v>66</v>
      </c>
      <c r="BG66" s="38">
        <f t="shared" si="21"/>
        <v>0</v>
      </c>
      <c r="BH66" s="38">
        <f t="shared" si="22"/>
        <v>0</v>
      </c>
      <c r="BI66" s="38">
        <f t="shared" si="23"/>
        <v>0</v>
      </c>
      <c r="BJ66" s="38"/>
      <c r="BK66" s="38"/>
      <c r="BV66" s="38">
        <v>21</v>
      </c>
    </row>
    <row r="67" spans="1:74" ht="13.5" customHeight="1">
      <c r="A67" s="15" t="s">
        <v>257</v>
      </c>
      <c r="B67" s="18" t="s">
        <v>119</v>
      </c>
      <c r="C67" s="53" t="s">
        <v>102</v>
      </c>
      <c r="D67" s="54"/>
      <c r="E67" s="18" t="s">
        <v>70</v>
      </c>
      <c r="F67" s="38">
        <v>13</v>
      </c>
      <c r="G67" s="38">
        <v>0</v>
      </c>
      <c r="H67" s="38">
        <f t="shared" si="0"/>
        <v>0</v>
      </c>
      <c r="I67" s="38">
        <f t="shared" si="1"/>
        <v>0</v>
      </c>
      <c r="J67" s="38">
        <f t="shared" si="2"/>
        <v>0</v>
      </c>
      <c r="K67" s="10"/>
      <c r="Y67" s="38">
        <f t="shared" si="3"/>
        <v>0</v>
      </c>
      <c r="AA67" s="38">
        <f t="shared" si="4"/>
        <v>0</v>
      </c>
      <c r="AB67" s="38">
        <f t="shared" si="5"/>
        <v>0</v>
      </c>
      <c r="AC67" s="38">
        <f t="shared" si="6"/>
        <v>0</v>
      </c>
      <c r="AD67" s="38">
        <f t="shared" si="7"/>
        <v>0</v>
      </c>
      <c r="AE67" s="38">
        <f t="shared" si="8"/>
        <v>0</v>
      </c>
      <c r="AF67" s="38">
        <f t="shared" si="9"/>
        <v>0</v>
      </c>
      <c r="AG67" s="38">
        <f t="shared" si="10"/>
        <v>0</v>
      </c>
      <c r="AH67" s="45" t="s">
        <v>178</v>
      </c>
      <c r="AI67" s="38">
        <f t="shared" si="11"/>
        <v>0</v>
      </c>
      <c r="AJ67" s="38">
        <f t="shared" si="12"/>
        <v>0</v>
      </c>
      <c r="AK67" s="38">
        <f t="shared" si="13"/>
        <v>0</v>
      </c>
      <c r="AM67" s="38">
        <v>21</v>
      </c>
      <c r="AN67" s="38">
        <f t="shared" si="14"/>
        <v>0</v>
      </c>
      <c r="AO67" s="38">
        <f t="shared" si="15"/>
        <v>0</v>
      </c>
      <c r="AP67" s="12" t="s">
        <v>136</v>
      </c>
      <c r="AU67" s="38">
        <f t="shared" si="16"/>
        <v>0</v>
      </c>
      <c r="AV67" s="38">
        <f t="shared" si="17"/>
        <v>0</v>
      </c>
      <c r="AW67" s="38">
        <f t="shared" si="18"/>
        <v>0</v>
      </c>
      <c r="AX67" s="12" t="s">
        <v>61</v>
      </c>
      <c r="AY67" s="12" t="s">
        <v>236</v>
      </c>
      <c r="AZ67" s="45" t="s">
        <v>197</v>
      </c>
      <c r="BB67" s="38">
        <f t="shared" si="19"/>
        <v>0</v>
      </c>
      <c r="BC67" s="38">
        <f t="shared" si="20"/>
        <v>0</v>
      </c>
      <c r="BD67" s="38">
        <v>0</v>
      </c>
      <c r="BE67" s="38">
        <f>67</f>
        <v>67</v>
      </c>
      <c r="BG67" s="38">
        <f t="shared" si="21"/>
        <v>0</v>
      </c>
      <c r="BH67" s="38">
        <f t="shared" si="22"/>
        <v>0</v>
      </c>
      <c r="BI67" s="38">
        <f t="shared" si="23"/>
        <v>0</v>
      </c>
      <c r="BJ67" s="38"/>
      <c r="BK67" s="38"/>
      <c r="BV67" s="38">
        <v>21</v>
      </c>
    </row>
    <row r="68" spans="1:74" ht="13.5" customHeight="1">
      <c r="A68" s="15" t="s">
        <v>52</v>
      </c>
      <c r="B68" s="18" t="s">
        <v>201</v>
      </c>
      <c r="C68" s="53" t="s">
        <v>179</v>
      </c>
      <c r="D68" s="54"/>
      <c r="E68" s="18" t="s">
        <v>181</v>
      </c>
      <c r="F68" s="38">
        <v>1</v>
      </c>
      <c r="G68" s="38">
        <v>0</v>
      </c>
      <c r="H68" s="38">
        <f t="shared" si="0"/>
        <v>0</v>
      </c>
      <c r="I68" s="38">
        <f t="shared" si="1"/>
        <v>0</v>
      </c>
      <c r="J68" s="38">
        <f t="shared" si="2"/>
        <v>0</v>
      </c>
      <c r="K68" s="10"/>
      <c r="Y68" s="38">
        <f t="shared" si="3"/>
        <v>0</v>
      </c>
      <c r="AA68" s="38">
        <f t="shared" si="4"/>
        <v>0</v>
      </c>
      <c r="AB68" s="38">
        <f t="shared" si="5"/>
        <v>0</v>
      </c>
      <c r="AC68" s="38">
        <f t="shared" si="6"/>
        <v>0</v>
      </c>
      <c r="AD68" s="38">
        <f t="shared" si="7"/>
        <v>0</v>
      </c>
      <c r="AE68" s="38">
        <f t="shared" si="8"/>
        <v>0</v>
      </c>
      <c r="AF68" s="38">
        <f t="shared" si="9"/>
        <v>0</v>
      </c>
      <c r="AG68" s="38">
        <f t="shared" si="10"/>
        <v>0</v>
      </c>
      <c r="AH68" s="45" t="s">
        <v>178</v>
      </c>
      <c r="AI68" s="38">
        <f t="shared" si="11"/>
        <v>0</v>
      </c>
      <c r="AJ68" s="38">
        <f t="shared" si="12"/>
        <v>0</v>
      </c>
      <c r="AK68" s="38">
        <f t="shared" si="13"/>
        <v>0</v>
      </c>
      <c r="AM68" s="38">
        <v>21</v>
      </c>
      <c r="AN68" s="38">
        <f t="shared" si="14"/>
        <v>0</v>
      </c>
      <c r="AO68" s="38">
        <f t="shared" si="15"/>
        <v>0</v>
      </c>
      <c r="AP68" s="12" t="s">
        <v>136</v>
      </c>
      <c r="AU68" s="38">
        <f t="shared" si="16"/>
        <v>0</v>
      </c>
      <c r="AV68" s="38">
        <f t="shared" si="17"/>
        <v>0</v>
      </c>
      <c r="AW68" s="38">
        <f t="shared" si="18"/>
        <v>0</v>
      </c>
      <c r="AX68" s="12" t="s">
        <v>61</v>
      </c>
      <c r="AY68" s="12" t="s">
        <v>236</v>
      </c>
      <c r="AZ68" s="45" t="s">
        <v>197</v>
      </c>
      <c r="BB68" s="38">
        <f t="shared" si="19"/>
        <v>0</v>
      </c>
      <c r="BC68" s="38">
        <f t="shared" si="20"/>
        <v>0</v>
      </c>
      <c r="BD68" s="38">
        <v>0</v>
      </c>
      <c r="BE68" s="38">
        <f>68</f>
        <v>68</v>
      </c>
      <c r="BG68" s="38">
        <f t="shared" si="21"/>
        <v>0</v>
      </c>
      <c r="BH68" s="38">
        <f t="shared" si="22"/>
        <v>0</v>
      </c>
      <c r="BI68" s="38">
        <f t="shared" si="23"/>
        <v>0</v>
      </c>
      <c r="BJ68" s="38"/>
      <c r="BK68" s="38"/>
      <c r="BV68" s="38">
        <v>21</v>
      </c>
    </row>
    <row r="69" spans="1:74" ht="13.5" customHeight="1">
      <c r="A69" s="15" t="s">
        <v>92</v>
      </c>
      <c r="B69" s="18" t="s">
        <v>78</v>
      </c>
      <c r="C69" s="53" t="s">
        <v>226</v>
      </c>
      <c r="D69" s="54"/>
      <c r="E69" s="18" t="s">
        <v>181</v>
      </c>
      <c r="F69" s="38">
        <v>12</v>
      </c>
      <c r="G69" s="38">
        <v>0</v>
      </c>
      <c r="H69" s="38">
        <f t="shared" si="0"/>
        <v>0</v>
      </c>
      <c r="I69" s="38">
        <f t="shared" si="1"/>
        <v>0</v>
      </c>
      <c r="J69" s="38">
        <f t="shared" si="2"/>
        <v>0</v>
      </c>
      <c r="K69" s="10"/>
      <c r="Y69" s="38">
        <f t="shared" si="3"/>
        <v>0</v>
      </c>
      <c r="AA69" s="38">
        <f t="shared" si="4"/>
        <v>0</v>
      </c>
      <c r="AB69" s="38">
        <f t="shared" si="5"/>
        <v>0</v>
      </c>
      <c r="AC69" s="38">
        <f t="shared" si="6"/>
        <v>0</v>
      </c>
      <c r="AD69" s="38">
        <f t="shared" si="7"/>
        <v>0</v>
      </c>
      <c r="AE69" s="38">
        <f t="shared" si="8"/>
        <v>0</v>
      </c>
      <c r="AF69" s="38">
        <f t="shared" si="9"/>
        <v>0</v>
      </c>
      <c r="AG69" s="38">
        <f t="shared" si="10"/>
        <v>0</v>
      </c>
      <c r="AH69" s="45" t="s">
        <v>178</v>
      </c>
      <c r="AI69" s="38">
        <f t="shared" si="11"/>
        <v>0</v>
      </c>
      <c r="AJ69" s="38">
        <f t="shared" si="12"/>
        <v>0</v>
      </c>
      <c r="AK69" s="38">
        <f t="shared" si="13"/>
        <v>0</v>
      </c>
      <c r="AM69" s="38">
        <v>21</v>
      </c>
      <c r="AN69" s="38">
        <f t="shared" si="14"/>
        <v>0</v>
      </c>
      <c r="AO69" s="38">
        <f t="shared" si="15"/>
        <v>0</v>
      </c>
      <c r="AP69" s="12" t="s">
        <v>136</v>
      </c>
      <c r="AU69" s="38">
        <f t="shared" si="16"/>
        <v>0</v>
      </c>
      <c r="AV69" s="38">
        <f t="shared" si="17"/>
        <v>0</v>
      </c>
      <c r="AW69" s="38">
        <f t="shared" si="18"/>
        <v>0</v>
      </c>
      <c r="AX69" s="12" t="s">
        <v>61</v>
      </c>
      <c r="AY69" s="12" t="s">
        <v>236</v>
      </c>
      <c r="AZ69" s="45" t="s">
        <v>197</v>
      </c>
      <c r="BB69" s="38">
        <f t="shared" si="19"/>
        <v>0</v>
      </c>
      <c r="BC69" s="38">
        <f t="shared" si="20"/>
        <v>0</v>
      </c>
      <c r="BD69" s="38">
        <v>0</v>
      </c>
      <c r="BE69" s="38">
        <f>69</f>
        <v>69</v>
      </c>
      <c r="BG69" s="38">
        <f t="shared" si="21"/>
        <v>0</v>
      </c>
      <c r="BH69" s="38">
        <f t="shared" si="22"/>
        <v>0</v>
      </c>
      <c r="BI69" s="38">
        <f t="shared" si="23"/>
        <v>0</v>
      </c>
      <c r="BJ69" s="38"/>
      <c r="BK69" s="38"/>
      <c r="BV69" s="38">
        <v>21</v>
      </c>
    </row>
    <row r="70" spans="1:74" ht="13.5" customHeight="1">
      <c r="A70" s="15" t="s">
        <v>118</v>
      </c>
      <c r="B70" s="18" t="s">
        <v>262</v>
      </c>
      <c r="C70" s="53" t="s">
        <v>145</v>
      </c>
      <c r="D70" s="54"/>
      <c r="E70" s="18" t="s">
        <v>70</v>
      </c>
      <c r="F70" s="38">
        <v>1</v>
      </c>
      <c r="G70" s="38">
        <v>0</v>
      </c>
      <c r="H70" s="38">
        <f t="shared" si="0"/>
        <v>0</v>
      </c>
      <c r="I70" s="38">
        <f t="shared" si="1"/>
        <v>0</v>
      </c>
      <c r="J70" s="38">
        <f t="shared" si="2"/>
        <v>0</v>
      </c>
      <c r="K70" s="10"/>
      <c r="Y70" s="38">
        <f t="shared" si="3"/>
        <v>0</v>
      </c>
      <c r="AA70" s="38">
        <f t="shared" si="4"/>
        <v>0</v>
      </c>
      <c r="AB70" s="38">
        <f t="shared" si="5"/>
        <v>0</v>
      </c>
      <c r="AC70" s="38">
        <f t="shared" si="6"/>
        <v>0</v>
      </c>
      <c r="AD70" s="38">
        <f t="shared" si="7"/>
        <v>0</v>
      </c>
      <c r="AE70" s="38">
        <f t="shared" si="8"/>
        <v>0</v>
      </c>
      <c r="AF70" s="38">
        <f t="shared" si="9"/>
        <v>0</v>
      </c>
      <c r="AG70" s="38">
        <f t="shared" si="10"/>
        <v>0</v>
      </c>
      <c r="AH70" s="45" t="s">
        <v>178</v>
      </c>
      <c r="AI70" s="38">
        <f t="shared" si="11"/>
        <v>0</v>
      </c>
      <c r="AJ70" s="38">
        <f t="shared" si="12"/>
        <v>0</v>
      </c>
      <c r="AK70" s="38">
        <f t="shared" si="13"/>
        <v>0</v>
      </c>
      <c r="AM70" s="38">
        <v>21</v>
      </c>
      <c r="AN70" s="38">
        <f t="shared" si="14"/>
        <v>0</v>
      </c>
      <c r="AO70" s="38">
        <f t="shared" si="15"/>
        <v>0</v>
      </c>
      <c r="AP70" s="12" t="s">
        <v>136</v>
      </c>
      <c r="AU70" s="38">
        <f t="shared" si="16"/>
        <v>0</v>
      </c>
      <c r="AV70" s="38">
        <f t="shared" si="17"/>
        <v>0</v>
      </c>
      <c r="AW70" s="38">
        <f t="shared" si="18"/>
        <v>0</v>
      </c>
      <c r="AX70" s="12" t="s">
        <v>61</v>
      </c>
      <c r="AY70" s="12" t="s">
        <v>236</v>
      </c>
      <c r="AZ70" s="45" t="s">
        <v>197</v>
      </c>
      <c r="BB70" s="38">
        <f t="shared" si="19"/>
        <v>0</v>
      </c>
      <c r="BC70" s="38">
        <f t="shared" si="20"/>
        <v>0</v>
      </c>
      <c r="BD70" s="38">
        <v>0</v>
      </c>
      <c r="BE70" s="38">
        <f>70</f>
        <v>70</v>
      </c>
      <c r="BG70" s="38">
        <f t="shared" si="21"/>
        <v>0</v>
      </c>
      <c r="BH70" s="38">
        <f t="shared" si="22"/>
        <v>0</v>
      </c>
      <c r="BI70" s="38">
        <f t="shared" si="23"/>
        <v>0</v>
      </c>
      <c r="BJ70" s="38"/>
      <c r="BK70" s="38"/>
      <c r="BV70" s="38">
        <v>21</v>
      </c>
    </row>
    <row r="71" spans="1:74" ht="13.5" customHeight="1">
      <c r="A71" s="15" t="s">
        <v>96</v>
      </c>
      <c r="B71" s="18" t="s">
        <v>239</v>
      </c>
      <c r="C71" s="53" t="s">
        <v>85</v>
      </c>
      <c r="D71" s="54"/>
      <c r="E71" s="18" t="s">
        <v>70</v>
      </c>
      <c r="F71" s="38">
        <v>7</v>
      </c>
      <c r="G71" s="38">
        <v>0</v>
      </c>
      <c r="H71" s="38">
        <f t="shared" si="0"/>
        <v>0</v>
      </c>
      <c r="I71" s="38">
        <f t="shared" si="1"/>
        <v>0</v>
      </c>
      <c r="J71" s="38">
        <f t="shared" si="2"/>
        <v>0</v>
      </c>
      <c r="K71" s="10"/>
      <c r="Y71" s="38">
        <f t="shared" si="3"/>
        <v>0</v>
      </c>
      <c r="AA71" s="38">
        <f t="shared" si="4"/>
        <v>0</v>
      </c>
      <c r="AB71" s="38">
        <f t="shared" si="5"/>
        <v>0</v>
      </c>
      <c r="AC71" s="38">
        <f t="shared" si="6"/>
        <v>0</v>
      </c>
      <c r="AD71" s="38">
        <f t="shared" si="7"/>
        <v>0</v>
      </c>
      <c r="AE71" s="38">
        <f t="shared" si="8"/>
        <v>0</v>
      </c>
      <c r="AF71" s="38">
        <f t="shared" si="9"/>
        <v>0</v>
      </c>
      <c r="AG71" s="38">
        <f t="shared" si="10"/>
        <v>0</v>
      </c>
      <c r="AH71" s="45" t="s">
        <v>178</v>
      </c>
      <c r="AI71" s="38">
        <f t="shared" si="11"/>
        <v>0</v>
      </c>
      <c r="AJ71" s="38">
        <f t="shared" si="12"/>
        <v>0</v>
      </c>
      <c r="AK71" s="38">
        <f t="shared" si="13"/>
        <v>0</v>
      </c>
      <c r="AM71" s="38">
        <v>21</v>
      </c>
      <c r="AN71" s="38">
        <f t="shared" si="14"/>
        <v>0</v>
      </c>
      <c r="AO71" s="38">
        <f t="shared" si="15"/>
        <v>0</v>
      </c>
      <c r="AP71" s="12" t="s">
        <v>136</v>
      </c>
      <c r="AU71" s="38">
        <f t="shared" si="16"/>
        <v>0</v>
      </c>
      <c r="AV71" s="38">
        <f t="shared" si="17"/>
        <v>0</v>
      </c>
      <c r="AW71" s="38">
        <f t="shared" si="18"/>
        <v>0</v>
      </c>
      <c r="AX71" s="12" t="s">
        <v>61</v>
      </c>
      <c r="AY71" s="12" t="s">
        <v>236</v>
      </c>
      <c r="AZ71" s="45" t="s">
        <v>197</v>
      </c>
      <c r="BB71" s="38">
        <f t="shared" si="19"/>
        <v>0</v>
      </c>
      <c r="BC71" s="38">
        <f t="shared" si="20"/>
        <v>0</v>
      </c>
      <c r="BD71" s="38">
        <v>0</v>
      </c>
      <c r="BE71" s="38">
        <f>71</f>
        <v>71</v>
      </c>
      <c r="BG71" s="38">
        <f t="shared" si="21"/>
        <v>0</v>
      </c>
      <c r="BH71" s="38">
        <f t="shared" si="22"/>
        <v>0</v>
      </c>
      <c r="BI71" s="38">
        <f t="shared" si="23"/>
        <v>0</v>
      </c>
      <c r="BJ71" s="38"/>
      <c r="BK71" s="38"/>
      <c r="BV71" s="38">
        <v>21</v>
      </c>
    </row>
    <row r="72" spans="1:74" ht="13.5" customHeight="1">
      <c r="A72" s="9" t="s">
        <v>207</v>
      </c>
      <c r="B72" s="37" t="s">
        <v>278</v>
      </c>
      <c r="C72" s="55" t="s">
        <v>187</v>
      </c>
      <c r="D72" s="56"/>
      <c r="E72" s="37" t="s">
        <v>181</v>
      </c>
      <c r="F72" s="8">
        <v>13</v>
      </c>
      <c r="G72" s="8">
        <v>0</v>
      </c>
      <c r="H72" s="8">
        <f t="shared" si="0"/>
        <v>0</v>
      </c>
      <c r="I72" s="8">
        <f t="shared" si="1"/>
        <v>0</v>
      </c>
      <c r="J72" s="8">
        <f t="shared" si="2"/>
        <v>0</v>
      </c>
      <c r="K72" s="43"/>
      <c r="Y72" s="38">
        <f t="shared" si="3"/>
        <v>0</v>
      </c>
      <c r="AA72" s="38">
        <f t="shared" si="4"/>
        <v>0</v>
      </c>
      <c r="AB72" s="38">
        <f t="shared" si="5"/>
        <v>0</v>
      </c>
      <c r="AC72" s="38">
        <f t="shared" si="6"/>
        <v>0</v>
      </c>
      <c r="AD72" s="38">
        <f t="shared" si="7"/>
        <v>0</v>
      </c>
      <c r="AE72" s="38">
        <f t="shared" si="8"/>
        <v>0</v>
      </c>
      <c r="AF72" s="38">
        <f t="shared" si="9"/>
        <v>0</v>
      </c>
      <c r="AG72" s="38">
        <f t="shared" si="10"/>
        <v>0</v>
      </c>
      <c r="AH72" s="45" t="s">
        <v>178</v>
      </c>
      <c r="AI72" s="38">
        <f t="shared" si="11"/>
        <v>0</v>
      </c>
      <c r="AJ72" s="38">
        <f t="shared" si="12"/>
        <v>0</v>
      </c>
      <c r="AK72" s="38">
        <f t="shared" si="13"/>
        <v>0</v>
      </c>
      <c r="AM72" s="38">
        <v>21</v>
      </c>
      <c r="AN72" s="38">
        <f t="shared" si="14"/>
        <v>0</v>
      </c>
      <c r="AO72" s="38">
        <f t="shared" si="15"/>
        <v>0</v>
      </c>
      <c r="AP72" s="12" t="s">
        <v>136</v>
      </c>
      <c r="AU72" s="38">
        <f t="shared" si="16"/>
        <v>0</v>
      </c>
      <c r="AV72" s="38">
        <f t="shared" si="17"/>
        <v>0</v>
      </c>
      <c r="AW72" s="38">
        <f t="shared" si="18"/>
        <v>0</v>
      </c>
      <c r="AX72" s="12" t="s">
        <v>61</v>
      </c>
      <c r="AY72" s="12" t="s">
        <v>236</v>
      </c>
      <c r="AZ72" s="45" t="s">
        <v>197</v>
      </c>
      <c r="BB72" s="38">
        <f t="shared" si="19"/>
        <v>0</v>
      </c>
      <c r="BC72" s="38">
        <f t="shared" si="20"/>
        <v>0</v>
      </c>
      <c r="BD72" s="38">
        <v>0</v>
      </c>
      <c r="BE72" s="38">
        <f>72</f>
        <v>72</v>
      </c>
      <c r="BG72" s="38">
        <f t="shared" si="21"/>
        <v>0</v>
      </c>
      <c r="BH72" s="38">
        <f t="shared" si="22"/>
        <v>0</v>
      </c>
      <c r="BI72" s="38">
        <f t="shared" si="23"/>
        <v>0</v>
      </c>
      <c r="BJ72" s="38"/>
      <c r="BK72" s="38"/>
      <c r="BV72" s="38">
        <v>21</v>
      </c>
    </row>
    <row r="73" spans="8:10" ht="15" customHeight="1">
      <c r="H73" s="57" t="s">
        <v>203</v>
      </c>
      <c r="I73" s="57"/>
      <c r="J73" s="6">
        <f>J12+J17+J19+J25+J28+J30+J33+J35+J41+J46+J52+J54+J56+J58+J62</f>
        <v>0</v>
      </c>
    </row>
    <row r="74" ht="15" customHeight="1">
      <c r="A74" s="40" t="s">
        <v>22</v>
      </c>
    </row>
    <row r="75" spans="1:11" ht="12.75" customHeight="1">
      <c r="A75" s="53" t="s">
        <v>178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</row>
  </sheetData>
  <sheetProtection/>
  <mergeCells count="91">
    <mergeCell ref="A1:K1"/>
    <mergeCell ref="A2:B3"/>
    <mergeCell ref="A4:B5"/>
    <mergeCell ref="A6:B7"/>
    <mergeCell ref="A8:B9"/>
    <mergeCell ref="G2:H3"/>
    <mergeCell ref="G4:H5"/>
    <mergeCell ref="G6:H7"/>
    <mergeCell ref="G8:H9"/>
    <mergeCell ref="J2:J3"/>
    <mergeCell ref="C4:F5"/>
    <mergeCell ref="C6:F7"/>
    <mergeCell ref="C8:F9"/>
    <mergeCell ref="I2:I3"/>
    <mergeCell ref="I4:I5"/>
    <mergeCell ref="I6:I7"/>
    <mergeCell ref="I8:I9"/>
    <mergeCell ref="K2:K3"/>
    <mergeCell ref="K4:K5"/>
    <mergeCell ref="K6:K7"/>
    <mergeCell ref="K8:K9"/>
    <mergeCell ref="C10:D10"/>
    <mergeCell ref="J4:J5"/>
    <mergeCell ref="J6:J7"/>
    <mergeCell ref="J8:J9"/>
    <mergeCell ref="C2:F3"/>
    <mergeCell ref="C11:D11"/>
    <mergeCell ref="H10:J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9:D69"/>
    <mergeCell ref="C58:D58"/>
    <mergeCell ref="C59:D59"/>
    <mergeCell ref="C60:D60"/>
    <mergeCell ref="C61:D61"/>
    <mergeCell ref="C62:D62"/>
    <mergeCell ref="C63:D63"/>
    <mergeCell ref="C70:D70"/>
    <mergeCell ref="C71:D71"/>
    <mergeCell ref="C72:D72"/>
    <mergeCell ref="H73:I73"/>
    <mergeCell ref="A75:K75"/>
    <mergeCell ref="C64:D64"/>
    <mergeCell ref="C65:D65"/>
    <mergeCell ref="C66:D66"/>
    <mergeCell ref="C67:D67"/>
    <mergeCell ref="C68:D68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F10" sqref="F10:G11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07" t="s">
        <v>65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16</v>
      </c>
      <c r="B2" s="72"/>
      <c r="C2" s="70" t="str">
        <f>'Stavební rozpočet'!C2</f>
        <v>REKONSTRUKCE HAVARIJNÍHO STAVU VODOVODU -  ul. Táborská - Louňovice</v>
      </c>
      <c r="D2" s="71"/>
      <c r="E2" s="77" t="s">
        <v>215</v>
      </c>
      <c r="F2" s="77"/>
      <c r="G2" s="72"/>
      <c r="H2" s="77" t="s">
        <v>170</v>
      </c>
      <c r="I2" s="65" t="s">
        <v>178</v>
      </c>
    </row>
    <row r="3" spans="1:9" ht="24" customHeight="1">
      <c r="A3" s="75"/>
      <c r="B3" s="54"/>
      <c r="C3" s="57"/>
      <c r="D3" s="57"/>
      <c r="E3" s="54"/>
      <c r="F3" s="54"/>
      <c r="G3" s="54"/>
      <c r="H3" s="54"/>
      <c r="I3" s="66"/>
    </row>
    <row r="4" spans="1:9" ht="15" customHeight="1">
      <c r="A4" s="76" t="s">
        <v>142</v>
      </c>
      <c r="B4" s="54"/>
      <c r="C4" s="53" t="str">
        <f>'Stavební rozpočet'!C4</f>
        <v>SO 01b - PŘÍPOJKY</v>
      </c>
      <c r="D4" s="54"/>
      <c r="E4" s="53" t="s">
        <v>177</v>
      </c>
      <c r="F4" s="53"/>
      <c r="G4" s="54"/>
      <c r="H4" s="53" t="s">
        <v>170</v>
      </c>
      <c r="I4" s="66" t="s">
        <v>178</v>
      </c>
    </row>
    <row r="5" spans="1:9" ht="15" customHeight="1">
      <c r="A5" s="75"/>
      <c r="B5" s="54"/>
      <c r="C5" s="54"/>
      <c r="D5" s="54"/>
      <c r="E5" s="54"/>
      <c r="F5" s="54"/>
      <c r="G5" s="54"/>
      <c r="H5" s="54"/>
      <c r="I5" s="66"/>
    </row>
    <row r="6" spans="1:9" ht="15" customHeight="1">
      <c r="A6" s="76" t="s">
        <v>23</v>
      </c>
      <c r="B6" s="54"/>
      <c r="C6" s="53" t="str">
        <f>'Stavební rozpočet'!C6</f>
        <v>Louňovice pod Blaníkem</v>
      </c>
      <c r="D6" s="54"/>
      <c r="E6" s="53" t="s">
        <v>223</v>
      </c>
      <c r="F6" s="53"/>
      <c r="G6" s="54"/>
      <c r="H6" s="53" t="s">
        <v>170</v>
      </c>
      <c r="I6" s="66" t="s">
        <v>178</v>
      </c>
    </row>
    <row r="7" spans="1:9" ht="15" customHeight="1">
      <c r="A7" s="75"/>
      <c r="B7" s="54"/>
      <c r="C7" s="54"/>
      <c r="D7" s="54"/>
      <c r="E7" s="54"/>
      <c r="F7" s="54"/>
      <c r="G7" s="54"/>
      <c r="H7" s="54"/>
      <c r="I7" s="66"/>
    </row>
    <row r="8" spans="1:9" ht="15" customHeight="1">
      <c r="A8" s="76" t="s">
        <v>227</v>
      </c>
      <c r="B8" s="54"/>
      <c r="C8" s="53" t="str">
        <f>'Stavební rozpočet'!I4</f>
        <v> </v>
      </c>
      <c r="D8" s="54"/>
      <c r="E8" s="53" t="s">
        <v>89</v>
      </c>
      <c r="F8" s="53" t="str">
        <f>'Stavební rozpočet'!I6</f>
        <v> </v>
      </c>
      <c r="G8" s="54"/>
      <c r="H8" s="54" t="s">
        <v>266</v>
      </c>
      <c r="I8" s="104">
        <v>46</v>
      </c>
    </row>
    <row r="9" spans="1:9" ht="15" customHeight="1">
      <c r="A9" s="75"/>
      <c r="B9" s="54"/>
      <c r="C9" s="54"/>
      <c r="D9" s="54"/>
      <c r="E9" s="54"/>
      <c r="F9" s="54"/>
      <c r="G9" s="54"/>
      <c r="H9" s="54"/>
      <c r="I9" s="66"/>
    </row>
    <row r="10" spans="1:9" ht="15" customHeight="1">
      <c r="A10" s="76" t="s">
        <v>126</v>
      </c>
      <c r="B10" s="54"/>
      <c r="C10" s="53" t="str">
        <f>'Stavební rozpočet'!C8</f>
        <v> </v>
      </c>
      <c r="D10" s="54"/>
      <c r="E10" s="53" t="s">
        <v>172</v>
      </c>
      <c r="F10" s="53"/>
      <c r="G10" s="54"/>
      <c r="H10" s="54" t="s">
        <v>252</v>
      </c>
      <c r="I10" s="105" t="str">
        <f>'Stavební rozpočet'!I8</f>
        <v> </v>
      </c>
    </row>
    <row r="11" spans="1:9" ht="15" customHeight="1">
      <c r="A11" s="108"/>
      <c r="B11" s="56"/>
      <c r="C11" s="56"/>
      <c r="D11" s="56"/>
      <c r="E11" s="56"/>
      <c r="F11" s="56"/>
      <c r="G11" s="56"/>
      <c r="H11" s="56"/>
      <c r="I11" s="67"/>
    </row>
    <row r="12" spans="1:9" ht="22.5" customHeight="1">
      <c r="A12" s="106" t="s">
        <v>47</v>
      </c>
      <c r="B12" s="106"/>
      <c r="C12" s="106"/>
      <c r="D12" s="106"/>
      <c r="E12" s="106"/>
      <c r="F12" s="106"/>
      <c r="G12" s="106"/>
      <c r="H12" s="106"/>
      <c r="I12" s="106"/>
    </row>
    <row r="13" spans="1:9" ht="26.25" customHeight="1">
      <c r="A13" s="27" t="s">
        <v>228</v>
      </c>
      <c r="B13" s="99" t="s">
        <v>37</v>
      </c>
      <c r="C13" s="100"/>
      <c r="D13" s="46" t="s">
        <v>50</v>
      </c>
      <c r="E13" s="99" t="s">
        <v>101</v>
      </c>
      <c r="F13" s="100"/>
      <c r="G13" s="46" t="s">
        <v>166</v>
      </c>
      <c r="H13" s="99" t="s">
        <v>51</v>
      </c>
      <c r="I13" s="100"/>
    </row>
    <row r="14" spans="1:9" ht="15" customHeight="1">
      <c r="A14" s="28" t="s">
        <v>104</v>
      </c>
      <c r="B14" s="17" t="s">
        <v>72</v>
      </c>
      <c r="C14" s="52">
        <f>SUM('Stavební rozpočet'!AA12:AA72)</f>
        <v>0</v>
      </c>
      <c r="D14" s="91" t="s">
        <v>185</v>
      </c>
      <c r="E14" s="92"/>
      <c r="F14" s="52">
        <f>VORN!I15</f>
        <v>0</v>
      </c>
      <c r="G14" s="91" t="s">
        <v>31</v>
      </c>
      <c r="H14" s="92"/>
      <c r="I14" s="44">
        <f>VORN!I21</f>
        <v>0</v>
      </c>
    </row>
    <row r="15" spans="1:9" ht="15" customHeight="1">
      <c r="A15" s="35" t="s">
        <v>178</v>
      </c>
      <c r="B15" s="17" t="s">
        <v>54</v>
      </c>
      <c r="C15" s="52">
        <f>SUM('Stavební rozpočet'!AB12:AB72)</f>
        <v>0</v>
      </c>
      <c r="D15" s="91" t="s">
        <v>27</v>
      </c>
      <c r="E15" s="92"/>
      <c r="F15" s="52">
        <f>VORN!I16</f>
        <v>0</v>
      </c>
      <c r="G15" s="91" t="s">
        <v>204</v>
      </c>
      <c r="H15" s="92"/>
      <c r="I15" s="44">
        <f>VORN!I22</f>
        <v>0</v>
      </c>
    </row>
    <row r="16" spans="1:9" ht="15" customHeight="1">
      <c r="A16" s="28" t="s">
        <v>25</v>
      </c>
      <c r="B16" s="17" t="s">
        <v>72</v>
      </c>
      <c r="C16" s="52">
        <f>SUM('Stavební rozpočet'!AC12:AC72)</f>
        <v>0</v>
      </c>
      <c r="D16" s="91" t="s">
        <v>193</v>
      </c>
      <c r="E16" s="92"/>
      <c r="F16" s="52">
        <f>VORN!I17</f>
        <v>0</v>
      </c>
      <c r="G16" s="91" t="s">
        <v>247</v>
      </c>
      <c r="H16" s="92"/>
      <c r="I16" s="44">
        <f>VORN!I23</f>
        <v>0</v>
      </c>
    </row>
    <row r="17" spans="1:9" ht="15" customHeight="1">
      <c r="A17" s="35" t="s">
        <v>178</v>
      </c>
      <c r="B17" s="17" t="s">
        <v>54</v>
      </c>
      <c r="C17" s="52">
        <f>SUM('Stavební rozpočet'!AD12:AD72)</f>
        <v>0</v>
      </c>
      <c r="D17" s="91" t="s">
        <v>178</v>
      </c>
      <c r="E17" s="92"/>
      <c r="F17" s="44" t="s">
        <v>178</v>
      </c>
      <c r="G17" s="91" t="s">
        <v>137</v>
      </c>
      <c r="H17" s="92"/>
      <c r="I17" s="44">
        <f>VORN!I24</f>
        <v>0</v>
      </c>
    </row>
    <row r="18" spans="1:9" ht="15" customHeight="1">
      <c r="A18" s="28" t="s">
        <v>82</v>
      </c>
      <c r="B18" s="17" t="s">
        <v>72</v>
      </c>
      <c r="C18" s="52">
        <f>SUM('Stavební rozpočet'!AE12:AE72)</f>
        <v>0</v>
      </c>
      <c r="D18" s="91" t="s">
        <v>178</v>
      </c>
      <c r="E18" s="92"/>
      <c r="F18" s="44" t="s">
        <v>178</v>
      </c>
      <c r="G18" s="91" t="s">
        <v>171</v>
      </c>
      <c r="H18" s="92"/>
      <c r="I18" s="44">
        <f>VORN!I25</f>
        <v>0</v>
      </c>
    </row>
    <row r="19" spans="1:9" ht="15" customHeight="1">
      <c r="A19" s="35" t="s">
        <v>178</v>
      </c>
      <c r="B19" s="17" t="s">
        <v>54</v>
      </c>
      <c r="C19" s="52">
        <f>SUM('Stavební rozpočet'!AF12:AF72)</f>
        <v>0</v>
      </c>
      <c r="D19" s="91" t="s">
        <v>178</v>
      </c>
      <c r="E19" s="92"/>
      <c r="F19" s="44" t="s">
        <v>178</v>
      </c>
      <c r="G19" s="91" t="s">
        <v>259</v>
      </c>
      <c r="H19" s="92"/>
      <c r="I19" s="44">
        <f>VORN!I26</f>
        <v>0</v>
      </c>
    </row>
    <row r="20" spans="1:9" ht="15" customHeight="1">
      <c r="A20" s="98" t="s">
        <v>17</v>
      </c>
      <c r="B20" s="97"/>
      <c r="C20" s="52">
        <f>SUM('Stavební rozpočet'!AG12:AG72)</f>
        <v>0</v>
      </c>
      <c r="D20" s="91" t="s">
        <v>178</v>
      </c>
      <c r="E20" s="92"/>
      <c r="F20" s="44" t="s">
        <v>178</v>
      </c>
      <c r="G20" s="91" t="s">
        <v>178</v>
      </c>
      <c r="H20" s="92"/>
      <c r="I20" s="44" t="s">
        <v>178</v>
      </c>
    </row>
    <row r="21" spans="1:9" ht="15" customHeight="1">
      <c r="A21" s="101" t="s">
        <v>258</v>
      </c>
      <c r="B21" s="102"/>
      <c r="C21" s="13">
        <f>SUM('Stavební rozpočet'!Y12:Y72)</f>
        <v>0</v>
      </c>
      <c r="D21" s="80" t="s">
        <v>178</v>
      </c>
      <c r="E21" s="93"/>
      <c r="F21" s="33" t="s">
        <v>178</v>
      </c>
      <c r="G21" s="80" t="s">
        <v>178</v>
      </c>
      <c r="H21" s="93"/>
      <c r="I21" s="33" t="s">
        <v>178</v>
      </c>
    </row>
    <row r="22" spans="1:9" ht="16.5" customHeight="1">
      <c r="A22" s="103" t="s">
        <v>57</v>
      </c>
      <c r="B22" s="95"/>
      <c r="C22" s="4">
        <f>SUM(C14:C21)</f>
        <v>0</v>
      </c>
      <c r="D22" s="94" t="s">
        <v>132</v>
      </c>
      <c r="E22" s="95"/>
      <c r="F22" s="4">
        <f>SUM(F14:F21)</f>
        <v>0</v>
      </c>
      <c r="G22" s="94" t="s">
        <v>267</v>
      </c>
      <c r="H22" s="95"/>
      <c r="I22" s="4">
        <f>SUM(I14:I21)</f>
        <v>0</v>
      </c>
    </row>
    <row r="23" spans="4:9" ht="15" customHeight="1">
      <c r="D23" s="98" t="s">
        <v>206</v>
      </c>
      <c r="E23" s="97"/>
      <c r="F23" s="51">
        <v>0</v>
      </c>
      <c r="G23" s="96" t="s">
        <v>12</v>
      </c>
      <c r="H23" s="97"/>
      <c r="I23" s="52">
        <v>0</v>
      </c>
    </row>
    <row r="24" spans="7:9" ht="15" customHeight="1">
      <c r="G24" s="98" t="s">
        <v>160</v>
      </c>
      <c r="H24" s="97"/>
      <c r="I24" s="13">
        <f>vorn_sum</f>
        <v>0</v>
      </c>
    </row>
    <row r="25" spans="7:9" ht="15" customHeight="1">
      <c r="G25" s="98" t="s">
        <v>83</v>
      </c>
      <c r="H25" s="97"/>
      <c r="I25" s="4">
        <v>0</v>
      </c>
    </row>
    <row r="27" spans="1:3" ht="15" customHeight="1">
      <c r="A27" s="87" t="s">
        <v>114</v>
      </c>
      <c r="B27" s="88"/>
      <c r="C27" s="24">
        <f>SUM('Stavební rozpočet'!AI12:AI72)</f>
        <v>0</v>
      </c>
    </row>
    <row r="28" spans="1:9" ht="15" customHeight="1">
      <c r="A28" s="89" t="s">
        <v>4</v>
      </c>
      <c r="B28" s="90"/>
      <c r="C28" s="22">
        <f>SUM('Stavební rozpočet'!AJ12:AJ72)</f>
        <v>0</v>
      </c>
      <c r="D28" s="88" t="s">
        <v>63</v>
      </c>
      <c r="E28" s="88"/>
      <c r="F28" s="24">
        <f>ROUND(C28*(15/100),2)</f>
        <v>0</v>
      </c>
      <c r="G28" s="88" t="s">
        <v>42</v>
      </c>
      <c r="H28" s="88"/>
      <c r="I28" s="24">
        <f>SUM(C27:C29)</f>
        <v>0</v>
      </c>
    </row>
    <row r="29" spans="1:9" ht="15" customHeight="1">
      <c r="A29" s="89" t="s">
        <v>9</v>
      </c>
      <c r="B29" s="90"/>
      <c r="C29" s="22">
        <f>SUM('Stavební rozpočet'!AK12:AK72)+(F22+I22+F23+I23+I24+I25)</f>
        <v>0</v>
      </c>
      <c r="D29" s="90" t="s">
        <v>194</v>
      </c>
      <c r="E29" s="90"/>
      <c r="F29" s="22">
        <f>ROUND(C29*(21/100),2)</f>
        <v>0</v>
      </c>
      <c r="G29" s="90" t="s">
        <v>112</v>
      </c>
      <c r="H29" s="90"/>
      <c r="I29" s="22">
        <f>SUM(F28:F29)+I28</f>
        <v>0</v>
      </c>
    </row>
    <row r="31" spans="1:9" ht="15" customHeight="1">
      <c r="A31" s="84" t="s">
        <v>3</v>
      </c>
      <c r="B31" s="78"/>
      <c r="C31" s="79"/>
      <c r="D31" s="78" t="s">
        <v>242</v>
      </c>
      <c r="E31" s="78"/>
      <c r="F31" s="79"/>
      <c r="G31" s="78" t="s">
        <v>175</v>
      </c>
      <c r="H31" s="78"/>
      <c r="I31" s="79"/>
    </row>
    <row r="32" spans="1:9" ht="15" customHeight="1">
      <c r="A32" s="85" t="s">
        <v>178</v>
      </c>
      <c r="B32" s="80"/>
      <c r="C32" s="81"/>
      <c r="D32" s="80" t="s">
        <v>178</v>
      </c>
      <c r="E32" s="80"/>
      <c r="F32" s="81"/>
      <c r="G32" s="80" t="s">
        <v>178</v>
      </c>
      <c r="H32" s="80"/>
      <c r="I32" s="81"/>
    </row>
    <row r="33" spans="1:9" ht="15" customHeight="1">
      <c r="A33" s="85" t="s">
        <v>178</v>
      </c>
      <c r="B33" s="80"/>
      <c r="C33" s="81"/>
      <c r="D33" s="80" t="s">
        <v>178</v>
      </c>
      <c r="E33" s="80"/>
      <c r="F33" s="81"/>
      <c r="G33" s="80" t="s">
        <v>178</v>
      </c>
      <c r="H33" s="80"/>
      <c r="I33" s="81"/>
    </row>
    <row r="34" spans="1:9" ht="15" customHeight="1">
      <c r="A34" s="85" t="s">
        <v>178</v>
      </c>
      <c r="B34" s="80"/>
      <c r="C34" s="81"/>
      <c r="D34" s="80" t="s">
        <v>178</v>
      </c>
      <c r="E34" s="80"/>
      <c r="F34" s="81"/>
      <c r="G34" s="80" t="s">
        <v>178</v>
      </c>
      <c r="H34" s="80"/>
      <c r="I34" s="81"/>
    </row>
    <row r="35" spans="1:9" ht="15" customHeight="1">
      <c r="A35" s="86" t="s">
        <v>56</v>
      </c>
      <c r="B35" s="82"/>
      <c r="C35" s="83"/>
      <c r="D35" s="82" t="s">
        <v>56</v>
      </c>
      <c r="E35" s="82"/>
      <c r="F35" s="83"/>
      <c r="G35" s="82" t="s">
        <v>56</v>
      </c>
      <c r="H35" s="82"/>
      <c r="I35" s="83"/>
    </row>
    <row r="36" ht="15" customHeight="1">
      <c r="A36" s="40" t="s">
        <v>22</v>
      </c>
    </row>
    <row r="37" spans="1:9" ht="12.75" customHeight="1">
      <c r="A37" s="53" t="s">
        <v>178</v>
      </c>
      <c r="B37" s="54"/>
      <c r="C37" s="54"/>
      <c r="D37" s="54"/>
      <c r="E37" s="54"/>
      <c r="F37" s="54"/>
      <c r="G37" s="54"/>
      <c r="H37" s="54"/>
      <c r="I37" s="54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07" t="s">
        <v>43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16</v>
      </c>
      <c r="B2" s="72"/>
      <c r="C2" s="70" t="str">
        <f>'Stavební rozpočet'!C2</f>
        <v>REKONSTRUKCE HAVARIJNÍHO STAVU VODOVODU -  ul. Táborská - Louňovice</v>
      </c>
      <c r="D2" s="71"/>
      <c r="E2" s="77" t="s">
        <v>215</v>
      </c>
      <c r="F2" s="77" t="e">
        <f>'Stavební rozpočet'!#REF!</f>
        <v>#REF!</v>
      </c>
      <c r="G2" s="72"/>
      <c r="H2" s="77" t="s">
        <v>170</v>
      </c>
      <c r="I2" s="65" t="s">
        <v>178</v>
      </c>
    </row>
    <row r="3" spans="1:9" ht="25.5" customHeight="1">
      <c r="A3" s="75"/>
      <c r="B3" s="54"/>
      <c r="C3" s="57"/>
      <c r="D3" s="57"/>
      <c r="E3" s="54"/>
      <c r="F3" s="54"/>
      <c r="G3" s="54"/>
      <c r="H3" s="54"/>
      <c r="I3" s="66"/>
    </row>
    <row r="4" spans="1:9" ht="15" customHeight="1">
      <c r="A4" s="76" t="s">
        <v>142</v>
      </c>
      <c r="B4" s="54"/>
      <c r="C4" s="53" t="str">
        <f>'Stavební rozpočet'!C4</f>
        <v>SO 01b - PŘÍPOJKY</v>
      </c>
      <c r="D4" s="54"/>
      <c r="E4" s="53" t="s">
        <v>177</v>
      </c>
      <c r="F4" s="53" t="e">
        <f>'Stavební rozpočet'!#REF!</f>
        <v>#REF!</v>
      </c>
      <c r="G4" s="54"/>
      <c r="H4" s="53" t="s">
        <v>170</v>
      </c>
      <c r="I4" s="66" t="s">
        <v>178</v>
      </c>
    </row>
    <row r="5" spans="1:9" ht="15" customHeight="1">
      <c r="A5" s="75"/>
      <c r="B5" s="54"/>
      <c r="C5" s="54"/>
      <c r="D5" s="54"/>
      <c r="E5" s="54"/>
      <c r="F5" s="54"/>
      <c r="G5" s="54"/>
      <c r="H5" s="54"/>
      <c r="I5" s="66"/>
    </row>
    <row r="6" spans="1:9" ht="15" customHeight="1">
      <c r="A6" s="76" t="s">
        <v>23</v>
      </c>
      <c r="B6" s="54"/>
      <c r="C6" s="53" t="str">
        <f>'Stavební rozpočet'!C6</f>
        <v>Louňovice pod Blaníkem</v>
      </c>
      <c r="D6" s="54"/>
      <c r="E6" s="53" t="s">
        <v>223</v>
      </c>
      <c r="F6" s="53" t="e">
        <f>'Stavební rozpočet'!#REF!</f>
        <v>#REF!</v>
      </c>
      <c r="G6" s="54"/>
      <c r="H6" s="53" t="s">
        <v>170</v>
      </c>
      <c r="I6" s="66" t="s">
        <v>178</v>
      </c>
    </row>
    <row r="7" spans="1:9" ht="15" customHeight="1">
      <c r="A7" s="75"/>
      <c r="B7" s="54"/>
      <c r="C7" s="54"/>
      <c r="D7" s="54"/>
      <c r="E7" s="54"/>
      <c r="F7" s="54"/>
      <c r="G7" s="54"/>
      <c r="H7" s="54"/>
      <c r="I7" s="66"/>
    </row>
    <row r="8" spans="1:9" ht="15" customHeight="1">
      <c r="A8" s="76" t="s">
        <v>227</v>
      </c>
      <c r="B8" s="54"/>
      <c r="C8" s="53" t="str">
        <f>'Stavební rozpočet'!I4</f>
        <v> </v>
      </c>
      <c r="D8" s="54"/>
      <c r="E8" s="53" t="s">
        <v>89</v>
      </c>
      <c r="F8" s="53" t="str">
        <f>'Stavební rozpočet'!I6</f>
        <v> </v>
      </c>
      <c r="G8" s="54"/>
      <c r="H8" s="54" t="s">
        <v>266</v>
      </c>
      <c r="I8" s="104">
        <v>46</v>
      </c>
    </row>
    <row r="9" spans="1:9" ht="15" customHeight="1">
      <c r="A9" s="75"/>
      <c r="B9" s="54"/>
      <c r="C9" s="54"/>
      <c r="D9" s="54"/>
      <c r="E9" s="54"/>
      <c r="F9" s="54"/>
      <c r="G9" s="54"/>
      <c r="H9" s="54"/>
      <c r="I9" s="66"/>
    </row>
    <row r="10" spans="1:9" ht="15" customHeight="1">
      <c r="A10" s="76" t="s">
        <v>126</v>
      </c>
      <c r="B10" s="54"/>
      <c r="C10" s="53" t="str">
        <f>'Stavební rozpočet'!C8</f>
        <v> </v>
      </c>
      <c r="D10" s="54"/>
      <c r="E10" s="53" t="s">
        <v>172</v>
      </c>
      <c r="F10" s="53" t="e">
        <f>'Stavební rozpočet'!#REF!</f>
        <v>#REF!</v>
      </c>
      <c r="G10" s="54"/>
      <c r="H10" s="54" t="s">
        <v>252</v>
      </c>
      <c r="I10" s="105" t="str">
        <f>'Stavební rozpočet'!I8</f>
        <v> </v>
      </c>
    </row>
    <row r="11" spans="1:9" ht="15" customHeight="1">
      <c r="A11" s="108"/>
      <c r="B11" s="56"/>
      <c r="C11" s="56"/>
      <c r="D11" s="56"/>
      <c r="E11" s="56"/>
      <c r="F11" s="56"/>
      <c r="G11" s="56"/>
      <c r="H11" s="56"/>
      <c r="I11" s="67"/>
    </row>
    <row r="13" spans="1:5" ht="15.75" customHeight="1">
      <c r="A13" s="118" t="s">
        <v>105</v>
      </c>
      <c r="B13" s="118"/>
      <c r="C13" s="118"/>
      <c r="D13" s="118"/>
      <c r="E13" s="118"/>
    </row>
    <row r="14" spans="1:9" ht="15" customHeight="1">
      <c r="A14" s="119" t="s">
        <v>289</v>
      </c>
      <c r="B14" s="120"/>
      <c r="C14" s="120"/>
      <c r="D14" s="120"/>
      <c r="E14" s="121"/>
      <c r="F14" s="41" t="s">
        <v>273</v>
      </c>
      <c r="G14" s="41" t="s">
        <v>224</v>
      </c>
      <c r="H14" s="41" t="s">
        <v>68</v>
      </c>
      <c r="I14" s="41" t="s">
        <v>273</v>
      </c>
    </row>
    <row r="15" spans="1:9" ht="15" customHeight="1">
      <c r="A15" s="108" t="s">
        <v>185</v>
      </c>
      <c r="B15" s="56"/>
      <c r="C15" s="56"/>
      <c r="D15" s="56"/>
      <c r="E15" s="67"/>
      <c r="F15" s="23">
        <v>0</v>
      </c>
      <c r="G15" s="14" t="s">
        <v>178</v>
      </c>
      <c r="H15" s="14" t="s">
        <v>178</v>
      </c>
      <c r="I15" s="23">
        <f>F15</f>
        <v>0</v>
      </c>
    </row>
    <row r="16" spans="1:9" ht="15" customHeight="1">
      <c r="A16" s="108" t="s">
        <v>27</v>
      </c>
      <c r="B16" s="56"/>
      <c r="C16" s="56"/>
      <c r="D16" s="56"/>
      <c r="E16" s="67"/>
      <c r="F16" s="23">
        <v>0</v>
      </c>
      <c r="G16" s="14" t="s">
        <v>178</v>
      </c>
      <c r="H16" s="14" t="s">
        <v>178</v>
      </c>
      <c r="I16" s="23">
        <f>F16</f>
        <v>0</v>
      </c>
    </row>
    <row r="17" spans="1:9" ht="15" customHeight="1">
      <c r="A17" s="75" t="s">
        <v>193</v>
      </c>
      <c r="B17" s="54"/>
      <c r="C17" s="54"/>
      <c r="D17" s="54"/>
      <c r="E17" s="66"/>
      <c r="F17" s="32">
        <v>0</v>
      </c>
      <c r="G17" s="26" t="s">
        <v>178</v>
      </c>
      <c r="H17" s="26" t="s">
        <v>178</v>
      </c>
      <c r="I17" s="32">
        <f>F17</f>
        <v>0</v>
      </c>
    </row>
    <row r="18" spans="1:9" ht="15" customHeight="1">
      <c r="A18" s="109" t="s">
        <v>277</v>
      </c>
      <c r="B18" s="110"/>
      <c r="C18" s="110"/>
      <c r="D18" s="110"/>
      <c r="E18" s="111"/>
      <c r="F18" s="5" t="s">
        <v>178</v>
      </c>
      <c r="G18" s="50" t="s">
        <v>178</v>
      </c>
      <c r="H18" s="50" t="s">
        <v>178</v>
      </c>
      <c r="I18" s="3">
        <f>SUM(I15:I17)</f>
        <v>0</v>
      </c>
    </row>
    <row r="20" spans="1:9" ht="15" customHeight="1">
      <c r="A20" s="119" t="s">
        <v>51</v>
      </c>
      <c r="B20" s="120"/>
      <c r="C20" s="120"/>
      <c r="D20" s="120"/>
      <c r="E20" s="121"/>
      <c r="F20" s="41" t="s">
        <v>273</v>
      </c>
      <c r="G20" s="41" t="s">
        <v>224</v>
      </c>
      <c r="H20" s="41" t="s">
        <v>68</v>
      </c>
      <c r="I20" s="41" t="s">
        <v>273</v>
      </c>
    </row>
    <row r="21" spans="1:9" ht="15" customHeight="1">
      <c r="A21" s="108" t="s">
        <v>31</v>
      </c>
      <c r="B21" s="56"/>
      <c r="C21" s="56"/>
      <c r="D21" s="56"/>
      <c r="E21" s="67"/>
      <c r="F21" s="23">
        <v>0</v>
      </c>
      <c r="G21" s="14" t="s">
        <v>178</v>
      </c>
      <c r="H21" s="14" t="s">
        <v>178</v>
      </c>
      <c r="I21" s="23">
        <f aca="true" t="shared" si="0" ref="I21:I26">F21</f>
        <v>0</v>
      </c>
    </row>
    <row r="22" spans="1:9" ht="15" customHeight="1">
      <c r="A22" s="108" t="s">
        <v>204</v>
      </c>
      <c r="B22" s="56"/>
      <c r="C22" s="56"/>
      <c r="D22" s="56"/>
      <c r="E22" s="67"/>
      <c r="F22" s="23">
        <v>0</v>
      </c>
      <c r="G22" s="14" t="s">
        <v>178</v>
      </c>
      <c r="H22" s="14" t="s">
        <v>178</v>
      </c>
      <c r="I22" s="23">
        <f t="shared" si="0"/>
        <v>0</v>
      </c>
    </row>
    <row r="23" spans="1:9" ht="15" customHeight="1">
      <c r="A23" s="108" t="s">
        <v>247</v>
      </c>
      <c r="B23" s="56"/>
      <c r="C23" s="56"/>
      <c r="D23" s="56"/>
      <c r="E23" s="67"/>
      <c r="F23" s="23">
        <v>0</v>
      </c>
      <c r="G23" s="14" t="s">
        <v>178</v>
      </c>
      <c r="H23" s="14" t="s">
        <v>178</v>
      </c>
      <c r="I23" s="23">
        <f t="shared" si="0"/>
        <v>0</v>
      </c>
    </row>
    <row r="24" spans="1:9" ht="15" customHeight="1">
      <c r="A24" s="108" t="s">
        <v>137</v>
      </c>
      <c r="B24" s="56"/>
      <c r="C24" s="56"/>
      <c r="D24" s="56"/>
      <c r="E24" s="67"/>
      <c r="F24" s="23">
        <v>0</v>
      </c>
      <c r="G24" s="14" t="s">
        <v>178</v>
      </c>
      <c r="H24" s="14" t="s">
        <v>178</v>
      </c>
      <c r="I24" s="23">
        <f t="shared" si="0"/>
        <v>0</v>
      </c>
    </row>
    <row r="25" spans="1:9" ht="15" customHeight="1">
      <c r="A25" s="108" t="s">
        <v>171</v>
      </c>
      <c r="B25" s="56"/>
      <c r="C25" s="56"/>
      <c r="D25" s="56"/>
      <c r="E25" s="67"/>
      <c r="F25" s="23">
        <v>0</v>
      </c>
      <c r="G25" s="14" t="s">
        <v>178</v>
      </c>
      <c r="H25" s="14" t="s">
        <v>178</v>
      </c>
      <c r="I25" s="23">
        <f t="shared" si="0"/>
        <v>0</v>
      </c>
    </row>
    <row r="26" spans="1:9" ht="15" customHeight="1">
      <c r="A26" s="75" t="s">
        <v>259</v>
      </c>
      <c r="B26" s="54"/>
      <c r="C26" s="54"/>
      <c r="D26" s="54"/>
      <c r="E26" s="66"/>
      <c r="F26" s="32">
        <v>0</v>
      </c>
      <c r="G26" s="26" t="s">
        <v>178</v>
      </c>
      <c r="H26" s="26" t="s">
        <v>178</v>
      </c>
      <c r="I26" s="32">
        <f t="shared" si="0"/>
        <v>0</v>
      </c>
    </row>
    <row r="27" spans="1:9" ht="15" customHeight="1">
      <c r="A27" s="109" t="s">
        <v>113</v>
      </c>
      <c r="B27" s="110"/>
      <c r="C27" s="110"/>
      <c r="D27" s="110"/>
      <c r="E27" s="111"/>
      <c r="F27" s="5" t="s">
        <v>178</v>
      </c>
      <c r="G27" s="50" t="s">
        <v>178</v>
      </c>
      <c r="H27" s="50" t="s">
        <v>178</v>
      </c>
      <c r="I27" s="3">
        <f>SUM(I21:I26)</f>
        <v>0</v>
      </c>
    </row>
    <row r="29" spans="1:9" ht="15.75" customHeight="1">
      <c r="A29" s="112" t="s">
        <v>274</v>
      </c>
      <c r="B29" s="113"/>
      <c r="C29" s="113"/>
      <c r="D29" s="113"/>
      <c r="E29" s="114"/>
      <c r="F29" s="115">
        <f>I18+I27</f>
        <v>0</v>
      </c>
      <c r="G29" s="116"/>
      <c r="H29" s="116"/>
      <c r="I29" s="117"/>
    </row>
    <row r="33" spans="1:5" ht="15.75" customHeight="1">
      <c r="A33" s="118" t="s">
        <v>270</v>
      </c>
      <c r="B33" s="118"/>
      <c r="C33" s="118"/>
      <c r="D33" s="118"/>
      <c r="E33" s="118"/>
    </row>
    <row r="34" spans="1:9" ht="15" customHeight="1">
      <c r="A34" s="119" t="s">
        <v>276</v>
      </c>
      <c r="B34" s="120"/>
      <c r="C34" s="120"/>
      <c r="D34" s="120"/>
      <c r="E34" s="121"/>
      <c r="F34" s="41" t="s">
        <v>273</v>
      </c>
      <c r="G34" s="41" t="s">
        <v>224</v>
      </c>
      <c r="H34" s="41" t="s">
        <v>68</v>
      </c>
      <c r="I34" s="41" t="s">
        <v>273</v>
      </c>
    </row>
    <row r="35" spans="1:9" ht="15" customHeight="1">
      <c r="A35" s="75" t="s">
        <v>178</v>
      </c>
      <c r="B35" s="54"/>
      <c r="C35" s="54"/>
      <c r="D35" s="54"/>
      <c r="E35" s="66"/>
      <c r="F35" s="32">
        <v>0</v>
      </c>
      <c r="G35" s="26" t="s">
        <v>178</v>
      </c>
      <c r="H35" s="26" t="s">
        <v>178</v>
      </c>
      <c r="I35" s="32">
        <f>F35</f>
        <v>0</v>
      </c>
    </row>
    <row r="36" spans="1:9" ht="15" customHeight="1">
      <c r="A36" s="109" t="s">
        <v>99</v>
      </c>
      <c r="B36" s="110"/>
      <c r="C36" s="110"/>
      <c r="D36" s="110"/>
      <c r="E36" s="111"/>
      <c r="F36" s="5" t="s">
        <v>178</v>
      </c>
      <c r="G36" s="50" t="s">
        <v>178</v>
      </c>
      <c r="H36" s="50" t="s">
        <v>178</v>
      </c>
      <c r="I36" s="3">
        <f>SUM(I35:I35)</f>
        <v>0</v>
      </c>
    </row>
  </sheetData>
  <sheetProtection/>
  <mergeCells count="51"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36:E36"/>
    <mergeCell ref="A27:E27"/>
    <mergeCell ref="A29:E29"/>
    <mergeCell ref="F29:I29"/>
    <mergeCell ref="A33:E33"/>
    <mergeCell ref="A34:E34"/>
    <mergeCell ref="A35:E35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Eliška Švejdová</cp:lastModifiedBy>
  <dcterms:created xsi:type="dcterms:W3CDTF">2021-06-10T20:06:38Z</dcterms:created>
  <dcterms:modified xsi:type="dcterms:W3CDTF">2024-01-11T12:21:46Z</dcterms:modified>
  <cp:category/>
  <cp:version/>
  <cp:contentType/>
  <cp:contentStatus/>
</cp:coreProperties>
</file>